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_k_ulozeni\"/>
    </mc:Choice>
  </mc:AlternateContent>
  <xr:revisionPtr revIDLastSave="0" documentId="8_{443A1269-05A4-440F-AB95-03543174A752}" xr6:coauthVersionLast="45" xr6:coauthVersionMax="45" xr10:uidLastSave="{00000000-0000-0000-0000-000000000000}"/>
  <bookViews>
    <workbookView xWindow="-108" yWindow="-108" windowWidth="23256" windowHeight="12576" activeTab="9" xr2:uid="{00000000-000D-0000-FFFF-FFFF00000000}"/>
  </bookViews>
  <sheets>
    <sheet name="1.kolo" sheetId="1" r:id="rId1"/>
    <sheet name="2. kolo" sheetId="4" r:id="rId2"/>
    <sheet name="3. kolo" sheetId="6" r:id="rId3"/>
    <sheet name="4.kolo" sheetId="7" r:id="rId4"/>
    <sheet name="5.kolo" sheetId="8" r:id="rId5"/>
    <sheet name="6.kolo" sheetId="9" r:id="rId6"/>
    <sheet name="7.kolo" sheetId="10" r:id="rId7"/>
    <sheet name="8.kolo-anulováno" sheetId="11" r:id="rId8"/>
    <sheet name="9.kolo" sheetId="12" r:id="rId9"/>
    <sheet name="10.kolo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13" l="1"/>
  <c r="D24" i="13"/>
  <c r="D26" i="13" s="1"/>
  <c r="N19" i="13"/>
  <c r="I19" i="13"/>
  <c r="M19" i="13" s="1"/>
  <c r="H19" i="13"/>
  <c r="K19" i="13" s="1"/>
  <c r="N21" i="13"/>
  <c r="I21" i="13"/>
  <c r="M21" i="13" s="1"/>
  <c r="H21" i="13"/>
  <c r="K21" i="13" s="1"/>
  <c r="O18" i="13"/>
  <c r="N18" i="13"/>
  <c r="I18" i="13"/>
  <c r="M18" i="13" s="1"/>
  <c r="H18" i="13"/>
  <c r="K18" i="13" s="1"/>
  <c r="O16" i="13"/>
  <c r="N16" i="13"/>
  <c r="H16" i="13"/>
  <c r="K16" i="13" s="1"/>
  <c r="J24" i="13"/>
  <c r="N25" i="13"/>
  <c r="I25" i="13"/>
  <c r="M25" i="13" s="1"/>
  <c r="H25" i="13"/>
  <c r="K25" i="13" s="1"/>
  <c r="E25" i="13"/>
  <c r="J25" i="13" s="1"/>
  <c r="N23" i="13"/>
  <c r="J23" i="13"/>
  <c r="I23" i="13"/>
  <c r="M23" i="13" s="1"/>
  <c r="H23" i="13"/>
  <c r="K23" i="13" s="1"/>
  <c r="N22" i="13"/>
  <c r="J22" i="13"/>
  <c r="I22" i="13"/>
  <c r="M22" i="13" s="1"/>
  <c r="H22" i="13"/>
  <c r="K22" i="13" s="1"/>
  <c r="J21" i="13"/>
  <c r="N20" i="13"/>
  <c r="M20" i="13"/>
  <c r="K20" i="13"/>
  <c r="J20" i="13"/>
  <c r="J19" i="13"/>
  <c r="J18" i="13"/>
  <c r="M16" i="13"/>
  <c r="J16" i="13"/>
  <c r="N17" i="13"/>
  <c r="J17" i="13"/>
  <c r="I17" i="13"/>
  <c r="M17" i="13" s="1"/>
  <c r="H17" i="13"/>
  <c r="K17" i="13" s="1"/>
  <c r="N15" i="13"/>
  <c r="I15" i="13"/>
  <c r="H15" i="13"/>
  <c r="E15" i="13"/>
  <c r="J15" i="13" s="1"/>
  <c r="I7" i="13"/>
  <c r="M7" i="13" s="1"/>
  <c r="H7" i="13"/>
  <c r="K7" i="13" s="1"/>
  <c r="I6" i="13"/>
  <c r="M6" i="13" s="1"/>
  <c r="H6" i="13"/>
  <c r="K6" i="13" s="1"/>
  <c r="I5" i="13"/>
  <c r="M5" i="13" s="1"/>
  <c r="H5" i="13"/>
  <c r="K5" i="13" s="1"/>
  <c r="I4" i="13"/>
  <c r="K4" i="13"/>
  <c r="I3" i="13"/>
  <c r="M3" i="13" s="1"/>
  <c r="H3" i="13"/>
  <c r="K3" i="13" s="1"/>
  <c r="D8" i="13"/>
  <c r="J7" i="13"/>
  <c r="J6" i="13"/>
  <c r="J5" i="13"/>
  <c r="M4" i="13"/>
  <c r="J4" i="13"/>
  <c r="J3" i="13"/>
  <c r="K24" i="13" l="1"/>
  <c r="M24" i="13"/>
  <c r="I26" i="13"/>
  <c r="H26" i="13"/>
  <c r="H27" i="13" s="1"/>
  <c r="K15" i="13"/>
  <c r="M15" i="13"/>
  <c r="I8" i="13"/>
  <c r="H8" i="13"/>
  <c r="H9" i="13" s="1"/>
  <c r="N26" i="12"/>
  <c r="N21" i="12"/>
  <c r="N20" i="12"/>
  <c r="N19" i="12"/>
  <c r="N17" i="12"/>
  <c r="I17" i="12"/>
  <c r="H17" i="12"/>
  <c r="N18" i="12"/>
  <c r="I18" i="12"/>
  <c r="M18" i="12" s="1"/>
  <c r="H18" i="12"/>
  <c r="K18" i="12" s="1"/>
  <c r="N16" i="12"/>
  <c r="I16" i="12"/>
  <c r="M16" i="12" s="1"/>
  <c r="H16" i="12"/>
  <c r="E16" i="12"/>
  <c r="J16" i="12" s="1"/>
  <c r="M26" i="12"/>
  <c r="J26" i="12"/>
  <c r="K26" i="12"/>
  <c r="N25" i="12"/>
  <c r="I25" i="12"/>
  <c r="M25" i="12" s="1"/>
  <c r="H25" i="12"/>
  <c r="K25" i="12" s="1"/>
  <c r="E25" i="12"/>
  <c r="J25" i="12" s="1"/>
  <c r="N24" i="12"/>
  <c r="J24" i="12"/>
  <c r="I24" i="12"/>
  <c r="M24" i="12" s="1"/>
  <c r="H24" i="12"/>
  <c r="K24" i="12" s="1"/>
  <c r="N23" i="12"/>
  <c r="J23" i="12"/>
  <c r="I23" i="12"/>
  <c r="M23" i="12" s="1"/>
  <c r="H23" i="12"/>
  <c r="K23" i="12" s="1"/>
  <c r="N22" i="12"/>
  <c r="J22" i="12"/>
  <c r="I22" i="12"/>
  <c r="M22" i="12" s="1"/>
  <c r="H22" i="12"/>
  <c r="K22" i="12" s="1"/>
  <c r="K21" i="12"/>
  <c r="J21" i="12"/>
  <c r="J20" i="12"/>
  <c r="M20" i="12"/>
  <c r="K20" i="12"/>
  <c r="K19" i="12"/>
  <c r="J19" i="12"/>
  <c r="M19" i="12"/>
  <c r="M17" i="12"/>
  <c r="K17" i="12"/>
  <c r="J17" i="12"/>
  <c r="J18" i="12"/>
  <c r="H3" i="12"/>
  <c r="I9" i="12"/>
  <c r="H9" i="12"/>
  <c r="I8" i="12"/>
  <c r="H8" i="12"/>
  <c r="I7" i="12"/>
  <c r="H7" i="12"/>
  <c r="H6" i="12"/>
  <c r="I6" i="12"/>
  <c r="I5" i="12"/>
  <c r="H5" i="12"/>
  <c r="I4" i="12"/>
  <c r="H4" i="12"/>
  <c r="I3" i="12"/>
  <c r="H27" i="12" l="1"/>
  <c r="I27" i="12"/>
  <c r="M21" i="12"/>
  <c r="K16" i="12"/>
  <c r="D27" i="12"/>
  <c r="H10" i="12"/>
  <c r="D10" i="12"/>
  <c r="J9" i="12"/>
  <c r="M9" i="12"/>
  <c r="K9" i="12"/>
  <c r="M8" i="12"/>
  <c r="K8" i="12"/>
  <c r="J8" i="12"/>
  <c r="J7" i="12"/>
  <c r="M7" i="12"/>
  <c r="K7" i="12"/>
  <c r="J6" i="12"/>
  <c r="M6" i="12"/>
  <c r="K6" i="12"/>
  <c r="M5" i="12"/>
  <c r="K5" i="12"/>
  <c r="J5" i="12"/>
  <c r="J4" i="12"/>
  <c r="M4" i="12"/>
  <c r="K4" i="12"/>
  <c r="M3" i="12"/>
  <c r="J3" i="12"/>
  <c r="K3" i="12"/>
  <c r="N17" i="11"/>
  <c r="J17" i="11"/>
  <c r="I17" i="11"/>
  <c r="M17" i="11" s="1"/>
  <c r="H17" i="11"/>
  <c r="K17" i="11" s="1"/>
  <c r="N16" i="11"/>
  <c r="I16" i="11"/>
  <c r="M16" i="11" s="1"/>
  <c r="H16" i="11"/>
  <c r="K16" i="11" s="1"/>
  <c r="E16" i="11"/>
  <c r="J16" i="11" s="1"/>
  <c r="N15" i="11"/>
  <c r="J15" i="11"/>
  <c r="I15" i="11"/>
  <c r="M15" i="11" s="1"/>
  <c r="H15" i="11"/>
  <c r="K15" i="11" s="1"/>
  <c r="N14" i="11"/>
  <c r="M14" i="11"/>
  <c r="J14" i="11"/>
  <c r="I14" i="11"/>
  <c r="H14" i="11"/>
  <c r="K14" i="11" s="1"/>
  <c r="N13" i="11"/>
  <c r="J13" i="11"/>
  <c r="I13" i="11"/>
  <c r="M13" i="11" s="1"/>
  <c r="H13" i="11"/>
  <c r="N12" i="11"/>
  <c r="J12" i="11"/>
  <c r="I12" i="11"/>
  <c r="M12" i="11" s="1"/>
  <c r="H12" i="11"/>
  <c r="K12" i="11" s="1"/>
  <c r="N11" i="11"/>
  <c r="J11" i="11"/>
  <c r="I11" i="11"/>
  <c r="M11" i="11" s="1"/>
  <c r="H11" i="11"/>
  <c r="K11" i="11" s="1"/>
  <c r="N10" i="11"/>
  <c r="J10" i="11"/>
  <c r="I10" i="11"/>
  <c r="H10" i="11"/>
  <c r="K10" i="11" s="1"/>
  <c r="D10" i="11"/>
  <c r="M10" i="11" s="1"/>
  <c r="N9" i="11"/>
  <c r="J9" i="11"/>
  <c r="I9" i="11"/>
  <c r="M9" i="11" s="1"/>
  <c r="H9" i="11"/>
  <c r="K9" i="11" s="1"/>
  <c r="N8" i="11"/>
  <c r="J8" i="11"/>
  <c r="I8" i="11"/>
  <c r="M8" i="11" s="1"/>
  <c r="H8" i="11"/>
  <c r="K8" i="11" s="1"/>
  <c r="N7" i="11"/>
  <c r="J7" i="11"/>
  <c r="H7" i="11"/>
  <c r="D7" i="11"/>
  <c r="D18" i="11" s="1"/>
  <c r="N26" i="10"/>
  <c r="N28" i="10"/>
  <c r="N21" i="10"/>
  <c r="N24" i="10"/>
  <c r="N23" i="10"/>
  <c r="N22" i="10"/>
  <c r="N18" i="10"/>
  <c r="N19" i="10"/>
  <c r="I21" i="10"/>
  <c r="H21" i="10"/>
  <c r="D21" i="10"/>
  <c r="I28" i="10"/>
  <c r="M28" i="10" s="1"/>
  <c r="H28" i="10"/>
  <c r="K28" i="10" s="1"/>
  <c r="I24" i="10"/>
  <c r="M24" i="10" s="1"/>
  <c r="H24" i="10"/>
  <c r="K24" i="10" s="1"/>
  <c r="I23" i="10"/>
  <c r="M23" i="10" s="1"/>
  <c r="H23" i="10"/>
  <c r="K23" i="10" s="1"/>
  <c r="I22" i="10"/>
  <c r="M22" i="10" s="1"/>
  <c r="H22" i="10"/>
  <c r="K22" i="10" s="1"/>
  <c r="H18" i="10"/>
  <c r="D18" i="10"/>
  <c r="D29" i="10" s="1"/>
  <c r="K25" i="10"/>
  <c r="J20" i="10"/>
  <c r="J18" i="10"/>
  <c r="J22" i="10"/>
  <c r="J23" i="10"/>
  <c r="J25" i="10"/>
  <c r="J24" i="10"/>
  <c r="J21" i="10"/>
  <c r="J27" i="10"/>
  <c r="J28" i="10"/>
  <c r="J26" i="10"/>
  <c r="J19" i="10"/>
  <c r="I19" i="10"/>
  <c r="H19" i="10"/>
  <c r="K19" i="10" s="1"/>
  <c r="K26" i="10"/>
  <c r="I26" i="10"/>
  <c r="M26" i="10" s="1"/>
  <c r="H26" i="10"/>
  <c r="N25" i="10"/>
  <c r="I25" i="10"/>
  <c r="M25" i="10" s="1"/>
  <c r="H25" i="10"/>
  <c r="N27" i="10"/>
  <c r="I27" i="10"/>
  <c r="M27" i="10" s="1"/>
  <c r="H27" i="10"/>
  <c r="K27" i="10" s="1"/>
  <c r="E27" i="10"/>
  <c r="N20" i="10"/>
  <c r="I20" i="10"/>
  <c r="M20" i="10" s="1"/>
  <c r="H20" i="10"/>
  <c r="K20" i="10" s="1"/>
  <c r="M7" i="10"/>
  <c r="M9" i="10"/>
  <c r="M10" i="10"/>
  <c r="M11" i="10"/>
  <c r="K6" i="10"/>
  <c r="K8" i="10"/>
  <c r="D12" i="10"/>
  <c r="H11" i="10"/>
  <c r="K11" i="10" s="1"/>
  <c r="H10" i="10"/>
  <c r="K10" i="10" s="1"/>
  <c r="H9" i="10"/>
  <c r="K9" i="10" s="1"/>
  <c r="I8" i="10"/>
  <c r="M8" i="10" s="1"/>
  <c r="H8" i="10"/>
  <c r="I7" i="10"/>
  <c r="H7" i="10"/>
  <c r="K7" i="10" s="1"/>
  <c r="I6" i="10"/>
  <c r="M6" i="10" s="1"/>
  <c r="H6" i="10"/>
  <c r="I5" i="10"/>
  <c r="M5" i="10" s="1"/>
  <c r="H5" i="10"/>
  <c r="K5" i="10" s="1"/>
  <c r="J5" i="10"/>
  <c r="J6" i="10"/>
  <c r="J7" i="10"/>
  <c r="J8" i="10"/>
  <c r="J9" i="10"/>
  <c r="J10" i="10"/>
  <c r="J11" i="10"/>
  <c r="J4" i="10"/>
  <c r="I4" i="10"/>
  <c r="M4" i="10" s="1"/>
  <c r="H4" i="10"/>
  <c r="K4" i="10" s="1"/>
  <c r="K7" i="11" l="1"/>
  <c r="H29" i="10"/>
  <c r="H12" i="10"/>
  <c r="H13" i="10" s="1"/>
  <c r="I29" i="10"/>
  <c r="H18" i="11"/>
  <c r="H19" i="11" s="1"/>
  <c r="H28" i="12"/>
  <c r="H11" i="12"/>
  <c r="I10" i="12"/>
  <c r="I18" i="11"/>
  <c r="K13" i="11"/>
  <c r="M7" i="11"/>
  <c r="I12" i="10"/>
  <c r="M19" i="10"/>
  <c r="H30" i="10"/>
  <c r="K21" i="10"/>
  <c r="M21" i="10"/>
  <c r="M18" i="10"/>
  <c r="K18" i="10"/>
  <c r="N18" i="9"/>
  <c r="I18" i="9"/>
  <c r="M18" i="9" s="1"/>
  <c r="H18" i="9"/>
  <c r="K18" i="9" s="1"/>
  <c r="N19" i="9"/>
  <c r="I19" i="9"/>
  <c r="M19" i="9" s="1"/>
  <c r="H19" i="9"/>
  <c r="K19" i="9" s="1"/>
  <c r="N17" i="9"/>
  <c r="I17" i="9"/>
  <c r="H17" i="9"/>
  <c r="D17" i="9"/>
  <c r="D24" i="9" s="1"/>
  <c r="N15" i="9"/>
  <c r="I15" i="9"/>
  <c r="M15" i="9" s="1"/>
  <c r="H15" i="9"/>
  <c r="K15" i="9" s="1"/>
  <c r="N23" i="9"/>
  <c r="J23" i="9"/>
  <c r="I23" i="9"/>
  <c r="M23" i="9" s="1"/>
  <c r="H23" i="9"/>
  <c r="K23" i="9" s="1"/>
  <c r="N22" i="9"/>
  <c r="I22" i="9"/>
  <c r="M22" i="9" s="1"/>
  <c r="H22" i="9"/>
  <c r="K22" i="9" s="1"/>
  <c r="E22" i="9"/>
  <c r="J22" i="9" s="1"/>
  <c r="N21" i="9"/>
  <c r="J21" i="9"/>
  <c r="I21" i="9"/>
  <c r="M21" i="9" s="1"/>
  <c r="H21" i="9"/>
  <c r="K21" i="9" s="1"/>
  <c r="J18" i="9"/>
  <c r="N20" i="9"/>
  <c r="J20" i="9"/>
  <c r="I20" i="9"/>
  <c r="M20" i="9" s="1"/>
  <c r="H20" i="9"/>
  <c r="K20" i="9" s="1"/>
  <c r="J19" i="9"/>
  <c r="J17" i="9"/>
  <c r="J15" i="9"/>
  <c r="N16" i="9"/>
  <c r="J16" i="9"/>
  <c r="I16" i="9"/>
  <c r="M16" i="9" s="1"/>
  <c r="H16" i="9"/>
  <c r="K16" i="9" s="1"/>
  <c r="N14" i="9"/>
  <c r="J14" i="9"/>
  <c r="I14" i="9"/>
  <c r="M14" i="9" s="1"/>
  <c r="H14" i="9"/>
  <c r="K14" i="9" s="1"/>
  <c r="D8" i="9"/>
  <c r="I7" i="9"/>
  <c r="M7" i="9" s="1"/>
  <c r="H7" i="9"/>
  <c r="K7" i="9" s="1"/>
  <c r="I6" i="9"/>
  <c r="M6" i="9" s="1"/>
  <c r="H6" i="9"/>
  <c r="K6" i="9" s="1"/>
  <c r="I5" i="9"/>
  <c r="M5" i="9" s="1"/>
  <c r="H5" i="9"/>
  <c r="K5" i="9" s="1"/>
  <c r="I4" i="9"/>
  <c r="M4" i="9" s="1"/>
  <c r="H4" i="9"/>
  <c r="K4" i="9" s="1"/>
  <c r="J7" i="9"/>
  <c r="J6" i="9"/>
  <c r="J5" i="9"/>
  <c r="J4" i="9"/>
  <c r="K17" i="9" l="1"/>
  <c r="M17" i="9"/>
  <c r="I8" i="9"/>
  <c r="J9" i="9" s="1"/>
  <c r="H8" i="9"/>
  <c r="H24" i="9"/>
  <c r="H25" i="9" s="1"/>
  <c r="I24" i="9"/>
  <c r="N16" i="8"/>
  <c r="N18" i="8"/>
  <c r="N15" i="8"/>
  <c r="D22" i="8"/>
  <c r="N21" i="8"/>
  <c r="J21" i="8"/>
  <c r="I21" i="8"/>
  <c r="M21" i="8" s="1"/>
  <c r="H21" i="8"/>
  <c r="K21" i="8" s="1"/>
  <c r="N20" i="8"/>
  <c r="I20" i="8"/>
  <c r="M20" i="8" s="1"/>
  <c r="H20" i="8"/>
  <c r="K20" i="8" s="1"/>
  <c r="E20" i="8"/>
  <c r="J20" i="8" s="1"/>
  <c r="M16" i="8"/>
  <c r="J16" i="8"/>
  <c r="K16" i="8"/>
  <c r="M15" i="8"/>
  <c r="K15" i="8"/>
  <c r="J15" i="8"/>
  <c r="K18" i="8"/>
  <c r="J18" i="8"/>
  <c r="M18" i="8"/>
  <c r="N19" i="8"/>
  <c r="J19" i="8"/>
  <c r="I19" i="8"/>
  <c r="M19" i="8" s="1"/>
  <c r="H19" i="8"/>
  <c r="K19" i="8" s="1"/>
  <c r="N17" i="8"/>
  <c r="J17" i="8"/>
  <c r="I17" i="8"/>
  <c r="M17" i="8" s="1"/>
  <c r="H17" i="8"/>
  <c r="K17" i="8" s="1"/>
  <c r="N14" i="8"/>
  <c r="J14" i="8"/>
  <c r="I14" i="8"/>
  <c r="M14" i="8" s="1"/>
  <c r="H14" i="8"/>
  <c r="K14" i="8" s="1"/>
  <c r="N13" i="8"/>
  <c r="J13" i="8"/>
  <c r="I13" i="8"/>
  <c r="H13" i="8"/>
  <c r="K13" i="8" s="1"/>
  <c r="N12" i="8"/>
  <c r="J12" i="8"/>
  <c r="I12" i="8"/>
  <c r="M12" i="8" s="1"/>
  <c r="H12" i="8"/>
  <c r="H6" i="8"/>
  <c r="I6" i="8"/>
  <c r="D6" i="8"/>
  <c r="M5" i="8"/>
  <c r="K5" i="8"/>
  <c r="J5" i="8"/>
  <c r="M4" i="8"/>
  <c r="K4" i="8"/>
  <c r="J4" i="8"/>
  <c r="J3" i="8"/>
  <c r="M3" i="8"/>
  <c r="K3" i="8"/>
  <c r="J7" i="8" l="1"/>
  <c r="I22" i="8"/>
  <c r="H22" i="8"/>
  <c r="H23" i="8" s="1"/>
  <c r="M13" i="8"/>
  <c r="K12" i="8"/>
  <c r="N19" i="7"/>
  <c r="J19" i="7"/>
  <c r="I19" i="7"/>
  <c r="M19" i="7" s="1"/>
  <c r="H19" i="7"/>
  <c r="K19" i="7" s="1"/>
  <c r="N24" i="7"/>
  <c r="I24" i="7"/>
  <c r="M24" i="7" s="1"/>
  <c r="H24" i="7"/>
  <c r="K24" i="7" s="1"/>
  <c r="N20" i="7"/>
  <c r="I20" i="7"/>
  <c r="M20" i="7" s="1"/>
  <c r="H20" i="7"/>
  <c r="K20" i="7" s="1"/>
  <c r="N21" i="7"/>
  <c r="I21" i="7"/>
  <c r="M21" i="7" s="1"/>
  <c r="H21" i="7"/>
  <c r="K21" i="7" s="1"/>
  <c r="N18" i="7"/>
  <c r="I18" i="7"/>
  <c r="M18" i="7" s="1"/>
  <c r="H18" i="7"/>
  <c r="N16" i="7"/>
  <c r="I16" i="7"/>
  <c r="M16" i="7" s="1"/>
  <c r="H16" i="7"/>
  <c r="K16" i="7" s="1"/>
  <c r="O15" i="7"/>
  <c r="N15" i="7"/>
  <c r="I15" i="7"/>
  <c r="M15" i="7" s="1"/>
  <c r="H15" i="7"/>
  <c r="K15" i="7" s="1"/>
  <c r="J24" i="7"/>
  <c r="J20" i="7"/>
  <c r="N23" i="7"/>
  <c r="I23" i="7"/>
  <c r="M23" i="7" s="1"/>
  <c r="H23" i="7"/>
  <c r="K23" i="7" s="1"/>
  <c r="E23" i="7"/>
  <c r="J23" i="7" s="1"/>
  <c r="J21" i="7"/>
  <c r="J18" i="7"/>
  <c r="K18" i="7"/>
  <c r="N22" i="7"/>
  <c r="J22" i="7"/>
  <c r="I22" i="7"/>
  <c r="M22" i="7" s="1"/>
  <c r="H22" i="7"/>
  <c r="K22" i="7" s="1"/>
  <c r="J16" i="7"/>
  <c r="N17" i="7"/>
  <c r="J17" i="7"/>
  <c r="I17" i="7"/>
  <c r="M17" i="7" s="1"/>
  <c r="H17" i="7"/>
  <c r="K17" i="7" s="1"/>
  <c r="J15" i="7"/>
  <c r="D25" i="7"/>
  <c r="I9" i="7"/>
  <c r="M9" i="7" s="1"/>
  <c r="H9" i="7"/>
  <c r="I8" i="7"/>
  <c r="M8" i="7" s="1"/>
  <c r="H8" i="7"/>
  <c r="K8" i="7" s="1"/>
  <c r="I7" i="7"/>
  <c r="M7" i="7" s="1"/>
  <c r="H7" i="7"/>
  <c r="K7" i="7" s="1"/>
  <c r="I6" i="7"/>
  <c r="M6" i="7" s="1"/>
  <c r="H6" i="7"/>
  <c r="K6" i="7" s="1"/>
  <c r="I5" i="7"/>
  <c r="M5" i="7" s="1"/>
  <c r="H5" i="7"/>
  <c r="K5" i="7" s="1"/>
  <c r="I4" i="7"/>
  <c r="H4" i="7"/>
  <c r="I3" i="7"/>
  <c r="M3" i="7" s="1"/>
  <c r="H3" i="7"/>
  <c r="D10" i="7"/>
  <c r="J9" i="7"/>
  <c r="K9" i="7"/>
  <c r="J8" i="7"/>
  <c r="J7" i="7"/>
  <c r="J6" i="7"/>
  <c r="J5" i="7"/>
  <c r="J4" i="7"/>
  <c r="J3" i="7"/>
  <c r="H25" i="7" l="1"/>
  <c r="H26" i="7" s="1"/>
  <c r="I25" i="7"/>
  <c r="H10" i="7"/>
  <c r="H11" i="7" s="1"/>
  <c r="K4" i="7"/>
  <c r="I10" i="7"/>
  <c r="M4" i="7"/>
  <c r="K3" i="7"/>
  <c r="N20" i="6"/>
  <c r="I20" i="6"/>
  <c r="D20" i="6"/>
  <c r="O18" i="6"/>
  <c r="N18" i="6"/>
  <c r="I18" i="6"/>
  <c r="M18" i="6" s="1"/>
  <c r="H18" i="6"/>
  <c r="K18" i="6" s="1"/>
  <c r="N16" i="6"/>
  <c r="I16" i="6"/>
  <c r="M16" i="6" s="1"/>
  <c r="H16" i="6"/>
  <c r="K16" i="6" s="1"/>
  <c r="N14" i="6"/>
  <c r="I14" i="6"/>
  <c r="M14" i="6" s="1"/>
  <c r="H14" i="6"/>
  <c r="K14" i="6" s="1"/>
  <c r="O13" i="6"/>
  <c r="N13" i="6"/>
  <c r="I13" i="6"/>
  <c r="H13" i="6"/>
  <c r="D13" i="6"/>
  <c r="N21" i="6"/>
  <c r="J21" i="6"/>
  <c r="I21" i="6"/>
  <c r="M21" i="6" s="1"/>
  <c r="H21" i="6"/>
  <c r="K21" i="6" s="1"/>
  <c r="M20" i="6"/>
  <c r="K20" i="6"/>
  <c r="J20" i="6"/>
  <c r="J18" i="6"/>
  <c r="J16" i="6"/>
  <c r="N19" i="6"/>
  <c r="I19" i="6"/>
  <c r="M19" i="6" s="1"/>
  <c r="H19" i="6"/>
  <c r="K19" i="6" s="1"/>
  <c r="E19" i="6"/>
  <c r="J19" i="6" s="1"/>
  <c r="N17" i="6"/>
  <c r="J17" i="6"/>
  <c r="I17" i="6"/>
  <c r="M17" i="6" s="1"/>
  <c r="H17" i="6"/>
  <c r="K17" i="6" s="1"/>
  <c r="N15" i="6"/>
  <c r="J15" i="6"/>
  <c r="I15" i="6"/>
  <c r="M15" i="6" s="1"/>
  <c r="H15" i="6"/>
  <c r="K15" i="6" s="1"/>
  <c r="J14" i="6"/>
  <c r="J13" i="6"/>
  <c r="I7" i="6"/>
  <c r="H7" i="6"/>
  <c r="I6" i="6"/>
  <c r="H6" i="6"/>
  <c r="I5" i="6"/>
  <c r="H5" i="6"/>
  <c r="I4" i="6"/>
  <c r="H4" i="6"/>
  <c r="I3" i="6"/>
  <c r="H3" i="6"/>
  <c r="N21" i="4"/>
  <c r="J21" i="4"/>
  <c r="I21" i="4"/>
  <c r="M21" i="4" s="1"/>
  <c r="H21" i="4"/>
  <c r="K21" i="4" s="1"/>
  <c r="N23" i="4"/>
  <c r="N22" i="4"/>
  <c r="N20" i="4"/>
  <c r="N19" i="4"/>
  <c r="N18" i="4"/>
  <c r="N17" i="4"/>
  <c r="N16" i="4"/>
  <c r="N15" i="4"/>
  <c r="I19" i="4"/>
  <c r="M19" i="4" s="1"/>
  <c r="H19" i="4"/>
  <c r="K19" i="4" s="1"/>
  <c r="E19" i="4"/>
  <c r="J19" i="4" s="1"/>
  <c r="J17" i="4"/>
  <c r="I17" i="4"/>
  <c r="M17" i="4" s="1"/>
  <c r="H17" i="4"/>
  <c r="K17" i="4" s="1"/>
  <c r="I22" i="4"/>
  <c r="M22" i="4" s="1"/>
  <c r="H22" i="4"/>
  <c r="K22" i="4" s="1"/>
  <c r="I18" i="4"/>
  <c r="M18" i="4" s="1"/>
  <c r="H18" i="4"/>
  <c r="K18" i="4" s="1"/>
  <c r="I16" i="4"/>
  <c r="M16" i="4" s="1"/>
  <c r="H16" i="4"/>
  <c r="K16" i="4" s="1"/>
  <c r="O15" i="4"/>
  <c r="I15" i="4"/>
  <c r="M15" i="4" s="1"/>
  <c r="H15" i="4"/>
  <c r="K15" i="4" s="1"/>
  <c r="J23" i="4"/>
  <c r="I23" i="4"/>
  <c r="M23" i="4" s="1"/>
  <c r="H23" i="4"/>
  <c r="K23" i="4" s="1"/>
  <c r="J22" i="4"/>
  <c r="J20" i="4"/>
  <c r="I20" i="4"/>
  <c r="M20" i="4" s="1"/>
  <c r="H20" i="4"/>
  <c r="K20" i="4" s="1"/>
  <c r="J18" i="4"/>
  <c r="J16" i="4"/>
  <c r="J15" i="4"/>
  <c r="I9" i="4"/>
  <c r="H9" i="4"/>
  <c r="I8" i="4"/>
  <c r="H8" i="4"/>
  <c r="I7" i="4"/>
  <c r="H7" i="4"/>
  <c r="I6" i="4"/>
  <c r="H6" i="4"/>
  <c r="E6" i="4"/>
  <c r="I5" i="4"/>
  <c r="H5" i="4"/>
  <c r="I4" i="4"/>
  <c r="H4" i="4"/>
  <c r="I3" i="4"/>
  <c r="H3" i="4"/>
  <c r="I9" i="1"/>
  <c r="H9" i="1"/>
  <c r="I8" i="1"/>
  <c r="H8" i="1"/>
  <c r="I7" i="1"/>
  <c r="H7" i="1"/>
  <c r="I6" i="1"/>
  <c r="H6" i="1"/>
  <c r="I5" i="1"/>
  <c r="H5" i="1"/>
  <c r="I4" i="1"/>
  <c r="H4" i="1"/>
  <c r="K13" i="6" l="1"/>
  <c r="M13" i="6"/>
  <c r="D24" i="4" l="1"/>
  <c r="M6" i="6"/>
  <c r="K6" i="6"/>
  <c r="M5" i="6"/>
  <c r="K5" i="6"/>
  <c r="M4" i="6"/>
  <c r="K4" i="6"/>
  <c r="M3" i="6"/>
  <c r="K3" i="6"/>
  <c r="J3" i="6"/>
  <c r="M7" i="6"/>
  <c r="K7" i="6"/>
  <c r="I22" i="6" l="1"/>
  <c r="D22" i="6"/>
  <c r="H22" i="6"/>
  <c r="D8" i="6"/>
  <c r="J7" i="6"/>
  <c r="J6" i="6"/>
  <c r="J5" i="6"/>
  <c r="J4" i="6"/>
  <c r="I8" i="6"/>
  <c r="H8" i="6"/>
  <c r="H23" i="6" l="1"/>
  <c r="H24" i="4"/>
  <c r="I24" i="4"/>
  <c r="H9" i="6"/>
  <c r="M9" i="4" l="1"/>
  <c r="D10" i="4"/>
  <c r="K9" i="4"/>
  <c r="M8" i="4"/>
  <c r="K8" i="4"/>
  <c r="K7" i="4"/>
  <c r="M6" i="4"/>
  <c r="M5" i="4"/>
  <c r="M4" i="4"/>
  <c r="K4" i="4"/>
  <c r="M7" i="4"/>
  <c r="K5" i="4"/>
  <c r="J4" i="4"/>
  <c r="J5" i="4"/>
  <c r="J6" i="4"/>
  <c r="J7" i="4"/>
  <c r="J8" i="4"/>
  <c r="J9" i="4"/>
  <c r="J3" i="4"/>
  <c r="M3" i="4"/>
  <c r="K3" i="4"/>
  <c r="H25" i="4" l="1"/>
  <c r="H10" i="4"/>
  <c r="H11" i="4" s="1"/>
  <c r="K6" i="4"/>
  <c r="I10" i="4"/>
  <c r="M9" i="1" l="1"/>
  <c r="K8" i="1"/>
  <c r="M7" i="1"/>
  <c r="K7" i="1"/>
  <c r="M6" i="1"/>
  <c r="K6" i="1"/>
  <c r="M5" i="1"/>
  <c r="M8" i="1"/>
  <c r="K9" i="1"/>
  <c r="K5" i="1"/>
  <c r="K4" i="1"/>
  <c r="J5" i="1"/>
  <c r="J6" i="1"/>
  <c r="J7" i="1"/>
  <c r="J8" i="1"/>
  <c r="J9" i="1"/>
  <c r="J4" i="1"/>
  <c r="M4" i="1"/>
  <c r="D10" i="1" l="1"/>
  <c r="H10" i="1" l="1"/>
  <c r="H11" i="1" s="1"/>
  <c r="I10" i="1"/>
</calcChain>
</file>

<file path=xl/sharedStrings.xml><?xml version="1.0" encoding="utf-8"?>
<sst xmlns="http://schemas.openxmlformats.org/spreadsheetml/2006/main" count="577" uniqueCount="54">
  <si>
    <t>pořadí</t>
  </si>
  <si>
    <t>jméno</t>
  </si>
  <si>
    <t>příjmení</t>
  </si>
  <si>
    <t>zápasy</t>
  </si>
  <si>
    <t>výhry</t>
  </si>
  <si>
    <t>remízy</t>
  </si>
  <si>
    <t>prohry</t>
  </si>
  <si>
    <t>vstřel. góly</t>
  </si>
  <si>
    <t>obrdž. góly</t>
  </si>
  <si>
    <t>body</t>
  </si>
  <si>
    <t>útok</t>
  </si>
  <si>
    <t>nuly</t>
  </si>
  <si>
    <t>obrana</t>
  </si>
  <si>
    <t>prům. umís.</t>
  </si>
  <si>
    <t>body celkem</t>
  </si>
  <si>
    <t>Goby</t>
  </si>
  <si>
    <t>Kratochvíl</t>
  </si>
  <si>
    <t>Kateřina</t>
  </si>
  <si>
    <t>Stařecká</t>
  </si>
  <si>
    <t>Adam</t>
  </si>
  <si>
    <t>Vojtěch</t>
  </si>
  <si>
    <t>Pavel</t>
  </si>
  <si>
    <t>Gobyová</t>
  </si>
  <si>
    <t>Provazník</t>
  </si>
  <si>
    <t>Marek</t>
  </si>
  <si>
    <t>Josef</t>
  </si>
  <si>
    <t>Vlasta</t>
  </si>
  <si>
    <t>Pohořalý</t>
  </si>
  <si>
    <t>Michal</t>
  </si>
  <si>
    <t xml:space="preserve">Pavel </t>
  </si>
  <si>
    <t>Benák</t>
  </si>
  <si>
    <t>1. kolo T.L.S.H. 2019/2020  12. 10. 2019</t>
  </si>
  <si>
    <t>2. kolo T.L.S.H. 2019/2020  26. 10. 2019</t>
  </si>
  <si>
    <t>Výsledky  po 2. kole T.L.S.H. 2019/2020</t>
  </si>
  <si>
    <t>3. kolo T.L.S.H. 2019/2020  9. 11. 2019</t>
  </si>
  <si>
    <t>Výsledky  po 3. kole T.L.S.H. 2019/2020</t>
  </si>
  <si>
    <t>4. kolo T.L.S.H. 2019/2020  23. 11. 2019</t>
  </si>
  <si>
    <t>Tomáš</t>
  </si>
  <si>
    <t xml:space="preserve">Goby </t>
  </si>
  <si>
    <t>Výsledky  po 4. kole T.L.S.H. 2019/2020</t>
  </si>
  <si>
    <t>5. kolo T.L.S.H. 2019/2020  7. 12. 2019</t>
  </si>
  <si>
    <t>Výsledky  po 5. kole T.L.S.H. 2019/2020</t>
  </si>
  <si>
    <t>6. kolo T.L.S.H. 2019/2020  4. 1. 2020</t>
  </si>
  <si>
    <t>Výsledky  po 6. kole T.L.S.H. 2019/2020</t>
  </si>
  <si>
    <t>7. kolo T.L.S.H. 2019/2020  18. 1. 2020</t>
  </si>
  <si>
    <t>Jaroslav</t>
  </si>
  <si>
    <t>Sládek</t>
  </si>
  <si>
    <t>Výsledky  po 7. kole T.L.S.H. 2019/2020</t>
  </si>
  <si>
    <t>Výsledky  po 8. kole T.L.S.H. 2019/2020</t>
  </si>
  <si>
    <t>8.kolo bylo pro nedostatek hráčů zrušeno-anulováno</t>
  </si>
  <si>
    <t>9. kolo T.L.S.H. 2019/2020  15. 2. 2020</t>
  </si>
  <si>
    <t>Výsledky  po 9. kole T.L.S.H. 2019/2020</t>
  </si>
  <si>
    <t>10. kolo T.L.S.H. 2019/2020  7. 3. 2020</t>
  </si>
  <si>
    <t>Výsledky  po 10. kole T.L.S.H.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</si>
</sst>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5" x14ac:knownFonts="1">
    <font>
      <sz val="11"/>
      <color theme="1"/>
      <name val="Calibri"/>
      <family val="2"/>
      <charset val="238"/>
      <scheme val="minor"/>
    </font>
    <font>
      <b/>
      <sz val="18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A6EF6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shrinkToFit="1"/>
    </xf>
    <xf numFmtId="0" fontId="1" fillId="0" borderId="0" xfId="0" applyFont="1"/>
    <xf numFmtId="0" fontId="0" fillId="2" borderId="1" xfId="0" applyFill="1" applyBorder="1" applyAlignment="1">
      <alignment horizontal="center" shrinkToFi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0" fontId="0" fillId="3" borderId="3" xfId="0" applyFill="1" applyBorder="1" applyAlignment="1">
      <alignment horizontal="center"/>
    </xf>
    <xf numFmtId="0" fontId="0" fillId="0" borderId="3" xfId="0" applyBorder="1"/>
    <xf numFmtId="0" fontId="0" fillId="3" borderId="2" xfId="0" applyFill="1" applyBorder="1" applyAlignment="1">
      <alignment horizontal="center"/>
    </xf>
    <xf numFmtId="164" fontId="0" fillId="0" borderId="0" xfId="0" applyNumberFormat="1"/>
    <xf numFmtId="165" fontId="0" fillId="0" borderId="2" xfId="0" applyNumberFormat="1" applyBorder="1"/>
    <xf numFmtId="0" fontId="0" fillId="0" borderId="4" xfId="0" applyFill="1" applyBorder="1"/>
    <xf numFmtId="0" fontId="0" fillId="0" borderId="4" xfId="0" applyBorder="1"/>
    <xf numFmtId="0" fontId="0" fillId="0" borderId="0" xfId="0" applyFill="1" applyBorder="1"/>
    <xf numFmtId="0" fontId="0" fillId="0" borderId="0" xfId="0" applyBorder="1"/>
    <xf numFmtId="166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4" borderId="2" xfId="0" applyFill="1" applyBorder="1" applyAlignment="1">
      <alignment horizontal="center"/>
    </xf>
    <xf numFmtId="0" fontId="4" fillId="5" borderId="0" xfId="0" applyFont="1" applyFill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A6EF63"/>
      <color rgb="FF53FA26"/>
      <color rgb="FF8CE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zoomScale="115" zoomScaleNormal="115" workbookViewId="0">
      <selection sqref="A1:O7"/>
    </sheetView>
  </sheetViews>
  <sheetFormatPr defaultRowHeight="14.4" x14ac:dyDescent="0.3"/>
  <cols>
    <col min="3" max="3" width="9.6640625" customWidth="1"/>
  </cols>
  <sheetData>
    <row r="1" spans="1:15" ht="23.4" x14ac:dyDescent="0.45">
      <c r="A1" s="1"/>
      <c r="D1" s="2" t="s">
        <v>31</v>
      </c>
    </row>
    <row r="2" spans="1:15" x14ac:dyDescent="0.3">
      <c r="A2" s="1"/>
    </row>
    <row r="3" spans="1:15" x14ac:dyDescent="0.3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5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5" t="s">
        <v>13</v>
      </c>
      <c r="O3" s="6" t="s">
        <v>14</v>
      </c>
    </row>
    <row r="4" spans="1:15" x14ac:dyDescent="0.3">
      <c r="A4" s="7">
        <v>1</v>
      </c>
      <c r="B4" s="7" t="s">
        <v>26</v>
      </c>
      <c r="C4" s="7" t="s">
        <v>22</v>
      </c>
      <c r="D4" s="7">
        <v>9</v>
      </c>
      <c r="E4" s="7">
        <v>7</v>
      </c>
      <c r="F4" s="7">
        <v>1</v>
      </c>
      <c r="G4" s="7">
        <v>1</v>
      </c>
      <c r="H4" s="7">
        <f>17+8+6</f>
        <v>31</v>
      </c>
      <c r="I4" s="7">
        <f>7+2+5</f>
        <v>14</v>
      </c>
      <c r="J4" s="7">
        <f>2*E4+F4</f>
        <v>15</v>
      </c>
      <c r="K4" s="8">
        <f>H4/D4</f>
        <v>3.4444444444444446</v>
      </c>
      <c r="L4" s="7">
        <v>1</v>
      </c>
      <c r="M4" s="8">
        <f>I4/D4</f>
        <v>1.5555555555555556</v>
      </c>
      <c r="N4" s="7"/>
      <c r="O4" s="9">
        <v>9</v>
      </c>
    </row>
    <row r="5" spans="1:15" x14ac:dyDescent="0.3">
      <c r="A5" s="7">
        <v>2</v>
      </c>
      <c r="B5" s="10" t="s">
        <v>20</v>
      </c>
      <c r="C5" s="10" t="s">
        <v>15</v>
      </c>
      <c r="D5" s="7">
        <v>10</v>
      </c>
      <c r="E5" s="7">
        <v>6</v>
      </c>
      <c r="F5" s="7">
        <v>1</v>
      </c>
      <c r="G5" s="7">
        <v>3</v>
      </c>
      <c r="H5" s="7">
        <f>20+7+5</f>
        <v>32</v>
      </c>
      <c r="I5" s="7">
        <f>11+3+6</f>
        <v>20</v>
      </c>
      <c r="J5" s="7">
        <f t="shared" ref="J5:J9" si="0">2*E5+F5</f>
        <v>13</v>
      </c>
      <c r="K5" s="8">
        <f t="shared" ref="K5:K9" si="1">H5/D5</f>
        <v>3.2</v>
      </c>
      <c r="L5" s="7">
        <v>1</v>
      </c>
      <c r="M5" s="8">
        <f t="shared" ref="M5:M9" si="2">I5/D5</f>
        <v>2</v>
      </c>
      <c r="N5" s="7"/>
      <c r="O5" s="9">
        <v>6</v>
      </c>
    </row>
    <row r="6" spans="1:15" x14ac:dyDescent="0.3">
      <c r="A6" s="7">
        <v>3</v>
      </c>
      <c r="B6" s="7" t="s">
        <v>25</v>
      </c>
      <c r="C6" s="7" t="s">
        <v>23</v>
      </c>
      <c r="D6" s="7">
        <v>9</v>
      </c>
      <c r="E6" s="7">
        <v>4</v>
      </c>
      <c r="F6" s="7">
        <v>0</v>
      </c>
      <c r="G6" s="7">
        <v>5</v>
      </c>
      <c r="H6" s="7">
        <f>10+2+4</f>
        <v>16</v>
      </c>
      <c r="I6" s="7">
        <f>16+8+2</f>
        <v>26</v>
      </c>
      <c r="J6" s="7">
        <f t="shared" si="0"/>
        <v>8</v>
      </c>
      <c r="K6" s="8">
        <f t="shared" si="1"/>
        <v>1.7777777777777777</v>
      </c>
      <c r="L6" s="7">
        <v>1</v>
      </c>
      <c r="M6" s="8">
        <f t="shared" si="2"/>
        <v>2.8888888888888888</v>
      </c>
      <c r="N6" s="7"/>
      <c r="O6" s="9">
        <v>4</v>
      </c>
    </row>
    <row r="7" spans="1:15" x14ac:dyDescent="0.3">
      <c r="A7" s="7">
        <v>4</v>
      </c>
      <c r="B7" s="7" t="s">
        <v>17</v>
      </c>
      <c r="C7" s="7" t="s">
        <v>18</v>
      </c>
      <c r="D7" s="7">
        <v>10</v>
      </c>
      <c r="E7" s="7">
        <v>4</v>
      </c>
      <c r="F7" s="7">
        <v>0</v>
      </c>
      <c r="G7" s="7">
        <v>6</v>
      </c>
      <c r="H7" s="7">
        <f>9+3+2</f>
        <v>14</v>
      </c>
      <c r="I7" s="7">
        <f>8+7+4</f>
        <v>19</v>
      </c>
      <c r="J7" s="7">
        <f t="shared" si="0"/>
        <v>8</v>
      </c>
      <c r="K7" s="8">
        <f t="shared" si="1"/>
        <v>1.4</v>
      </c>
      <c r="L7" s="7">
        <v>2</v>
      </c>
      <c r="M7" s="8">
        <f t="shared" si="2"/>
        <v>1.9</v>
      </c>
      <c r="N7" s="7"/>
      <c r="O7" s="11">
        <v>3</v>
      </c>
    </row>
    <row r="8" spans="1:15" x14ac:dyDescent="0.3">
      <c r="A8" s="7">
        <v>5</v>
      </c>
      <c r="B8" s="7" t="s">
        <v>19</v>
      </c>
      <c r="C8" s="7" t="s">
        <v>16</v>
      </c>
      <c r="D8" s="7">
        <v>8</v>
      </c>
      <c r="E8" s="7">
        <v>2</v>
      </c>
      <c r="F8" s="7">
        <v>1</v>
      </c>
      <c r="G8" s="7">
        <v>5</v>
      </c>
      <c r="H8" s="7">
        <f>8+9</f>
        <v>17</v>
      </c>
      <c r="I8" s="7">
        <f>13+3+3+1</f>
        <v>20</v>
      </c>
      <c r="J8" s="7">
        <f t="shared" si="0"/>
        <v>5</v>
      </c>
      <c r="K8" s="8">
        <f t="shared" si="1"/>
        <v>2.125</v>
      </c>
      <c r="L8" s="7">
        <v>0</v>
      </c>
      <c r="M8" s="8">
        <f t="shared" si="2"/>
        <v>2.5</v>
      </c>
      <c r="N8" s="7"/>
      <c r="O8" s="11">
        <v>2</v>
      </c>
    </row>
    <row r="9" spans="1:15" x14ac:dyDescent="0.3">
      <c r="A9" s="7">
        <v>6</v>
      </c>
      <c r="B9" s="7" t="s">
        <v>24</v>
      </c>
      <c r="C9" s="7" t="s">
        <v>23</v>
      </c>
      <c r="D9" s="7">
        <v>8</v>
      </c>
      <c r="E9" s="7">
        <v>1</v>
      </c>
      <c r="F9" s="7">
        <v>1</v>
      </c>
      <c r="G9" s="7">
        <v>6</v>
      </c>
      <c r="H9" s="7">
        <f>6+7</f>
        <v>13</v>
      </c>
      <c r="I9" s="7">
        <f>15+9</f>
        <v>24</v>
      </c>
      <c r="J9" s="7">
        <f t="shared" si="0"/>
        <v>3</v>
      </c>
      <c r="K9" s="8">
        <f t="shared" si="1"/>
        <v>1.625</v>
      </c>
      <c r="L9" s="7">
        <v>0</v>
      </c>
      <c r="M9" s="8">
        <f t="shared" si="2"/>
        <v>3</v>
      </c>
      <c r="N9" s="7"/>
      <c r="O9" s="11">
        <v>1</v>
      </c>
    </row>
    <row r="10" spans="1:15" x14ac:dyDescent="0.3">
      <c r="D10">
        <f>SUM(D4:D9)/2</f>
        <v>27</v>
      </c>
      <c r="H10">
        <f>SUM(H4:H9)</f>
        <v>123</v>
      </c>
      <c r="I10">
        <f>SUM(I4:I9)</f>
        <v>123</v>
      </c>
    </row>
    <row r="11" spans="1:15" x14ac:dyDescent="0.3">
      <c r="H11" s="18">
        <f>H10/D10</f>
        <v>4.5555555555555554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7"/>
  <sheetViews>
    <sheetView tabSelected="1" workbookViewId="0">
      <selection activeCell="A19" sqref="A19"/>
    </sheetView>
  </sheetViews>
  <sheetFormatPr defaultRowHeight="14.4" x14ac:dyDescent="0.3"/>
  <sheetData>
    <row r="1" spans="1:15" ht="23.4" x14ac:dyDescent="0.45">
      <c r="D1" s="2" t="s">
        <v>52</v>
      </c>
    </row>
    <row r="2" spans="1:15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5" t="s">
        <v>14</v>
      </c>
    </row>
    <row r="3" spans="1:15" x14ac:dyDescent="0.3">
      <c r="A3" s="7">
        <v>1</v>
      </c>
      <c r="B3" s="7" t="s">
        <v>20</v>
      </c>
      <c r="C3" s="7" t="s">
        <v>15</v>
      </c>
      <c r="D3" s="7">
        <v>9</v>
      </c>
      <c r="E3" s="7">
        <v>5</v>
      </c>
      <c r="F3" s="7">
        <v>2</v>
      </c>
      <c r="G3" s="7">
        <v>2</v>
      </c>
      <c r="H3" s="7">
        <f>15+7+18</f>
        <v>40</v>
      </c>
      <c r="I3" s="7">
        <f>8+5+9</f>
        <v>22</v>
      </c>
      <c r="J3" s="7">
        <f>2*E3+F3</f>
        <v>12</v>
      </c>
      <c r="K3" s="8">
        <f>H3/D3</f>
        <v>4.4444444444444446</v>
      </c>
      <c r="L3" s="7">
        <v>1</v>
      </c>
      <c r="M3" s="8">
        <f>I3/D3</f>
        <v>2.4444444444444446</v>
      </c>
      <c r="N3" s="7"/>
      <c r="O3" s="9">
        <v>8</v>
      </c>
    </row>
    <row r="4" spans="1:15" x14ac:dyDescent="0.3">
      <c r="A4" s="7">
        <v>2</v>
      </c>
      <c r="B4" s="7" t="s">
        <v>37</v>
      </c>
      <c r="C4" s="7" t="s">
        <v>16</v>
      </c>
      <c r="D4" s="7">
        <v>9</v>
      </c>
      <c r="E4" s="7">
        <v>5</v>
      </c>
      <c r="F4" s="7">
        <v>2</v>
      </c>
      <c r="G4" s="7">
        <v>2</v>
      </c>
      <c r="H4" s="7">
        <v>32</v>
      </c>
      <c r="I4" s="7">
        <f>10+4+18</f>
        <v>32</v>
      </c>
      <c r="J4" s="7">
        <f t="shared" ref="J4:J7" si="0">2*E4+F4</f>
        <v>12</v>
      </c>
      <c r="K4" s="8">
        <f t="shared" ref="K4:K7" si="1">H4/D4</f>
        <v>3.5555555555555554</v>
      </c>
      <c r="L4" s="7">
        <v>0</v>
      </c>
      <c r="M4" s="8">
        <f t="shared" ref="M4:M7" si="2">I4/D4</f>
        <v>3.5555555555555554</v>
      </c>
      <c r="N4" s="7"/>
      <c r="O4" s="9">
        <v>5</v>
      </c>
    </row>
    <row r="5" spans="1:15" x14ac:dyDescent="0.3">
      <c r="A5" s="7">
        <v>3</v>
      </c>
      <c r="B5" s="7" t="s">
        <v>25</v>
      </c>
      <c r="C5" s="7" t="s">
        <v>23</v>
      </c>
      <c r="D5" s="7">
        <v>6</v>
      </c>
      <c r="E5" s="7">
        <v>2</v>
      </c>
      <c r="F5" s="7">
        <v>1</v>
      </c>
      <c r="G5" s="7">
        <v>3</v>
      </c>
      <c r="H5" s="7">
        <f>9+5</f>
        <v>14</v>
      </c>
      <c r="I5" s="7">
        <f>15+4</f>
        <v>19</v>
      </c>
      <c r="J5" s="7">
        <f t="shared" si="0"/>
        <v>5</v>
      </c>
      <c r="K5" s="8">
        <f t="shared" si="1"/>
        <v>2.3333333333333335</v>
      </c>
      <c r="L5" s="7">
        <v>0</v>
      </c>
      <c r="M5" s="8">
        <f t="shared" si="2"/>
        <v>3.1666666666666665</v>
      </c>
      <c r="N5" s="7"/>
      <c r="O5" s="9">
        <v>3</v>
      </c>
    </row>
    <row r="6" spans="1:15" x14ac:dyDescent="0.3">
      <c r="A6" s="7">
        <v>4</v>
      </c>
      <c r="B6" s="7" t="s">
        <v>21</v>
      </c>
      <c r="C6" s="7" t="s">
        <v>15</v>
      </c>
      <c r="D6" s="7">
        <v>8</v>
      </c>
      <c r="E6" s="7">
        <v>2</v>
      </c>
      <c r="F6" s="7">
        <v>2</v>
      </c>
      <c r="G6" s="7">
        <v>4</v>
      </c>
      <c r="H6" s="7">
        <f>13+5+4</f>
        <v>22</v>
      </c>
      <c r="I6" s="7">
        <f>15+7+4</f>
        <v>26</v>
      </c>
      <c r="J6" s="7">
        <f t="shared" si="0"/>
        <v>6</v>
      </c>
      <c r="K6" s="8">
        <f t="shared" si="1"/>
        <v>2.75</v>
      </c>
      <c r="L6" s="7">
        <v>0</v>
      </c>
      <c r="M6" s="8">
        <f t="shared" si="2"/>
        <v>3.25</v>
      </c>
      <c r="N6" s="7"/>
      <c r="O6" s="11">
        <v>2</v>
      </c>
    </row>
    <row r="7" spans="1:15" x14ac:dyDescent="0.3">
      <c r="A7" s="7">
        <v>5</v>
      </c>
      <c r="B7" s="7" t="s">
        <v>24</v>
      </c>
      <c r="C7" s="7" t="s">
        <v>23</v>
      </c>
      <c r="D7" s="7">
        <v>8</v>
      </c>
      <c r="E7" s="7">
        <v>2</v>
      </c>
      <c r="F7" s="7">
        <v>1</v>
      </c>
      <c r="G7" s="7">
        <v>5</v>
      </c>
      <c r="H7" s="7">
        <f>17</f>
        <v>17</v>
      </c>
      <c r="I7" s="7">
        <f>11+10+5</f>
        <v>26</v>
      </c>
      <c r="J7" s="7">
        <f t="shared" si="0"/>
        <v>5</v>
      </c>
      <c r="K7" s="8">
        <f t="shared" si="1"/>
        <v>2.125</v>
      </c>
      <c r="L7" s="7">
        <v>1</v>
      </c>
      <c r="M7" s="8">
        <f t="shared" si="2"/>
        <v>3.25</v>
      </c>
      <c r="N7" s="7"/>
      <c r="O7" s="11">
        <v>1</v>
      </c>
    </row>
    <row r="8" spans="1:15" x14ac:dyDescent="0.3">
      <c r="D8">
        <f>SUM(D3:D7)/2</f>
        <v>20</v>
      </c>
      <c r="H8">
        <f>SUM(H3:H7)</f>
        <v>125</v>
      </c>
      <c r="I8">
        <f>SUM(I3:I7)</f>
        <v>125</v>
      </c>
    </row>
    <row r="9" spans="1:15" x14ac:dyDescent="0.3">
      <c r="H9" s="12">
        <f>H8/D8</f>
        <v>6.25</v>
      </c>
    </row>
    <row r="12" spans="1:15" ht="23.4" x14ac:dyDescent="0.45">
      <c r="D12" s="2" t="s">
        <v>53</v>
      </c>
    </row>
    <row r="14" spans="1:15" x14ac:dyDescent="0.3">
      <c r="A14" s="3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5" t="s">
        <v>7</v>
      </c>
      <c r="I14" s="5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5" t="s">
        <v>13</v>
      </c>
      <c r="O14" s="5" t="s">
        <v>14</v>
      </c>
    </row>
    <row r="15" spans="1:15" x14ac:dyDescent="0.3">
      <c r="A15" s="7">
        <v>1</v>
      </c>
      <c r="B15" s="7" t="s">
        <v>29</v>
      </c>
      <c r="C15" s="7" t="s">
        <v>27</v>
      </c>
      <c r="D15" s="7">
        <v>45</v>
      </c>
      <c r="E15" s="7">
        <f>25+8</f>
        <v>33</v>
      </c>
      <c r="F15" s="7">
        <v>4</v>
      </c>
      <c r="G15" s="7">
        <v>8</v>
      </c>
      <c r="H15" s="7">
        <f>120+35</f>
        <v>155</v>
      </c>
      <c r="I15" s="7">
        <f>80+27</f>
        <v>107</v>
      </c>
      <c r="J15" s="7">
        <f t="shared" ref="J15:J21" si="3">2*E15+F15</f>
        <v>70</v>
      </c>
      <c r="K15" s="8">
        <f t="shared" ref="K15:K21" si="4">H15/D15</f>
        <v>3.4444444444444446</v>
      </c>
      <c r="L15" s="7">
        <v>2</v>
      </c>
      <c r="M15" s="8">
        <f t="shared" ref="M15:M21" si="5">I15/D15</f>
        <v>2.3777777777777778</v>
      </c>
      <c r="N15" s="13">
        <f>5/4</f>
        <v>1.25</v>
      </c>
      <c r="O15" s="23">
        <v>42</v>
      </c>
    </row>
    <row r="16" spans="1:15" x14ac:dyDescent="0.3">
      <c r="A16" s="7">
        <v>2</v>
      </c>
      <c r="B16" s="7" t="s">
        <v>20</v>
      </c>
      <c r="C16" s="7" t="s">
        <v>15</v>
      </c>
      <c r="D16" s="7">
        <v>69</v>
      </c>
      <c r="E16" s="7">
        <v>39</v>
      </c>
      <c r="F16" s="7">
        <v>7</v>
      </c>
      <c r="G16" s="7">
        <v>23</v>
      </c>
      <c r="H16" s="7">
        <f>199+40</f>
        <v>239</v>
      </c>
      <c r="I16" s="7">
        <v>172</v>
      </c>
      <c r="J16" s="7">
        <f>2*E16+F16</f>
        <v>85</v>
      </c>
      <c r="K16" s="8">
        <f>H16/D16</f>
        <v>3.4637681159420288</v>
      </c>
      <c r="L16" s="7">
        <v>5</v>
      </c>
      <c r="M16" s="8">
        <f>I16/D16</f>
        <v>2.4927536231884058</v>
      </c>
      <c r="N16" s="13">
        <f>18/7</f>
        <v>2.5714285714285716</v>
      </c>
      <c r="O16" s="23">
        <f>33+8</f>
        <v>41</v>
      </c>
    </row>
    <row r="17" spans="1:15" x14ac:dyDescent="0.3">
      <c r="A17" s="7">
        <v>3</v>
      </c>
      <c r="B17" s="7" t="s">
        <v>26</v>
      </c>
      <c r="C17" s="7" t="s">
        <v>22</v>
      </c>
      <c r="D17" s="7">
        <v>48</v>
      </c>
      <c r="E17" s="7">
        <v>25</v>
      </c>
      <c r="F17" s="7">
        <v>5</v>
      </c>
      <c r="G17" s="7">
        <v>18</v>
      </c>
      <c r="H17" s="7">
        <f>111+27</f>
        <v>138</v>
      </c>
      <c r="I17" s="7">
        <f>84+25</f>
        <v>109</v>
      </c>
      <c r="J17" s="7">
        <f>2*E17+F17</f>
        <v>55</v>
      </c>
      <c r="K17" s="8">
        <f>H17/D17</f>
        <v>2.875</v>
      </c>
      <c r="L17" s="7">
        <v>5</v>
      </c>
      <c r="M17" s="8">
        <f>I17/D17</f>
        <v>2.2708333333333335</v>
      </c>
      <c r="N17" s="13">
        <f>11/5</f>
        <v>2.2000000000000002</v>
      </c>
      <c r="O17" s="23">
        <v>34</v>
      </c>
    </row>
    <row r="18" spans="1:15" x14ac:dyDescent="0.3">
      <c r="A18" s="7">
        <v>4</v>
      </c>
      <c r="B18" s="7" t="s">
        <v>37</v>
      </c>
      <c r="C18" s="7" t="s">
        <v>16</v>
      </c>
      <c r="D18" s="7">
        <v>44</v>
      </c>
      <c r="E18" s="22">
        <v>29</v>
      </c>
      <c r="F18" s="22">
        <v>5</v>
      </c>
      <c r="G18" s="22">
        <v>10</v>
      </c>
      <c r="H18" s="7">
        <f>115+32</f>
        <v>147</v>
      </c>
      <c r="I18" s="7">
        <f>61+32</f>
        <v>93</v>
      </c>
      <c r="J18" s="7">
        <f t="shared" si="3"/>
        <v>63</v>
      </c>
      <c r="K18" s="8">
        <f t="shared" si="4"/>
        <v>3.3409090909090908</v>
      </c>
      <c r="L18" s="22">
        <v>4</v>
      </c>
      <c r="M18" s="8">
        <f t="shared" si="5"/>
        <v>2.1136363636363638</v>
      </c>
      <c r="N18" s="13">
        <f>7/4</f>
        <v>1.75</v>
      </c>
      <c r="O18" s="23">
        <f>28+5</f>
        <v>33</v>
      </c>
    </row>
    <row r="19" spans="1:15" x14ac:dyDescent="0.3">
      <c r="A19" s="7">
        <v>5</v>
      </c>
      <c r="B19" s="7" t="s">
        <v>29</v>
      </c>
      <c r="C19" s="7" t="s">
        <v>15</v>
      </c>
      <c r="D19" s="7">
        <v>69</v>
      </c>
      <c r="E19" s="7">
        <v>27</v>
      </c>
      <c r="F19" s="7">
        <v>14</v>
      </c>
      <c r="G19" s="7">
        <v>28</v>
      </c>
      <c r="H19" s="7">
        <f>135+22</f>
        <v>157</v>
      </c>
      <c r="I19" s="7">
        <f>138+26</f>
        <v>164</v>
      </c>
      <c r="J19" s="7">
        <f t="shared" si="3"/>
        <v>68</v>
      </c>
      <c r="K19" s="8">
        <f t="shared" si="4"/>
        <v>2.2753623188405796</v>
      </c>
      <c r="L19" s="7">
        <v>7</v>
      </c>
      <c r="M19" s="8">
        <f t="shared" si="5"/>
        <v>2.3768115942028984</v>
      </c>
      <c r="N19" s="13">
        <f>32/8</f>
        <v>4</v>
      </c>
      <c r="O19" s="23">
        <v>25</v>
      </c>
    </row>
    <row r="20" spans="1:15" x14ac:dyDescent="0.3">
      <c r="A20" s="7">
        <v>6</v>
      </c>
      <c r="B20" s="7" t="s">
        <v>19</v>
      </c>
      <c r="C20" s="7" t="s">
        <v>16</v>
      </c>
      <c r="D20" s="7">
        <v>67</v>
      </c>
      <c r="E20" s="7">
        <v>16</v>
      </c>
      <c r="F20" s="7">
        <v>7</v>
      </c>
      <c r="G20" s="7">
        <v>44</v>
      </c>
      <c r="H20" s="7">
        <v>129</v>
      </c>
      <c r="I20" s="7">
        <v>189</v>
      </c>
      <c r="J20" s="7">
        <f t="shared" si="3"/>
        <v>39</v>
      </c>
      <c r="K20" s="8">
        <f t="shared" si="4"/>
        <v>1.9253731343283582</v>
      </c>
      <c r="L20" s="7">
        <v>6</v>
      </c>
      <c r="M20" s="8">
        <f t="shared" si="5"/>
        <v>2.8208955223880596</v>
      </c>
      <c r="N20" s="13">
        <f>37/8</f>
        <v>4.625</v>
      </c>
      <c r="O20" s="23">
        <v>18</v>
      </c>
    </row>
    <row r="21" spans="1:15" x14ac:dyDescent="0.3">
      <c r="A21" s="7">
        <v>7</v>
      </c>
      <c r="B21" s="7" t="s">
        <v>25</v>
      </c>
      <c r="C21" s="7" t="s">
        <v>23</v>
      </c>
      <c r="D21" s="22">
        <v>45</v>
      </c>
      <c r="E21" s="22">
        <v>14</v>
      </c>
      <c r="F21" s="22">
        <v>8</v>
      </c>
      <c r="G21" s="22">
        <v>23</v>
      </c>
      <c r="H21" s="7">
        <f>69+14</f>
        <v>83</v>
      </c>
      <c r="I21" s="7">
        <f>113+19</f>
        <v>132</v>
      </c>
      <c r="J21" s="7">
        <f t="shared" si="3"/>
        <v>36</v>
      </c>
      <c r="K21" s="8">
        <f t="shared" si="4"/>
        <v>1.8444444444444446</v>
      </c>
      <c r="L21" s="22">
        <v>5</v>
      </c>
      <c r="M21" s="8">
        <f t="shared" si="5"/>
        <v>2.9333333333333331</v>
      </c>
      <c r="N21" s="13">
        <f>24/5</f>
        <v>4.8</v>
      </c>
      <c r="O21" s="23">
        <v>14</v>
      </c>
    </row>
    <row r="22" spans="1:15" x14ac:dyDescent="0.3">
      <c r="A22" s="7">
        <v>8</v>
      </c>
      <c r="B22" s="7" t="s">
        <v>17</v>
      </c>
      <c r="C22" s="7" t="s">
        <v>18</v>
      </c>
      <c r="D22" s="7">
        <v>30</v>
      </c>
      <c r="E22" s="7">
        <v>13</v>
      </c>
      <c r="F22" s="7">
        <v>3</v>
      </c>
      <c r="G22" s="7">
        <v>14</v>
      </c>
      <c r="H22" s="7">
        <f>44+17</f>
        <v>61</v>
      </c>
      <c r="I22" s="7">
        <f>46+24</f>
        <v>70</v>
      </c>
      <c r="J22" s="7">
        <f>2*E22+F22</f>
        <v>29</v>
      </c>
      <c r="K22" s="8">
        <f>H22/D22</f>
        <v>2.0333333333333332</v>
      </c>
      <c r="L22" s="7">
        <v>5</v>
      </c>
      <c r="M22" s="8">
        <f>I22/D22</f>
        <v>2.3333333333333335</v>
      </c>
      <c r="N22" s="13">
        <f>13/4</f>
        <v>3.25</v>
      </c>
      <c r="O22" s="23">
        <v>10</v>
      </c>
    </row>
    <row r="23" spans="1:15" x14ac:dyDescent="0.3">
      <c r="A23" s="7">
        <v>9</v>
      </c>
      <c r="B23" s="22" t="s">
        <v>45</v>
      </c>
      <c r="C23" s="22" t="s">
        <v>46</v>
      </c>
      <c r="D23" s="7">
        <v>12</v>
      </c>
      <c r="E23" s="7">
        <v>5</v>
      </c>
      <c r="F23" s="7">
        <v>1</v>
      </c>
      <c r="G23" s="7">
        <v>6</v>
      </c>
      <c r="H23" s="7">
        <f>12+8+7</f>
        <v>27</v>
      </c>
      <c r="I23" s="7">
        <f>15+10+4</f>
        <v>29</v>
      </c>
      <c r="J23" s="7">
        <f>2*E23+F23</f>
        <v>11</v>
      </c>
      <c r="K23" s="8">
        <f t="shared" ref="K23" si="6">H23/D23</f>
        <v>2.25</v>
      </c>
      <c r="L23" s="7">
        <v>2</v>
      </c>
      <c r="M23" s="8">
        <f>I23/D23</f>
        <v>2.4166666666666665</v>
      </c>
      <c r="N23" s="13">
        <f>3/1</f>
        <v>3</v>
      </c>
      <c r="O23" s="23">
        <v>7</v>
      </c>
    </row>
    <row r="24" spans="1:15" x14ac:dyDescent="0.3">
      <c r="A24" s="7">
        <v>10</v>
      </c>
      <c r="B24" s="7" t="s">
        <v>24</v>
      </c>
      <c r="C24" s="7" t="s">
        <v>23</v>
      </c>
      <c r="D24" s="22">
        <f>38+8</f>
        <v>46</v>
      </c>
      <c r="E24" s="22">
        <v>6</v>
      </c>
      <c r="F24" s="22">
        <v>6</v>
      </c>
      <c r="G24" s="22">
        <v>34</v>
      </c>
      <c r="H24" s="7">
        <v>87</v>
      </c>
      <c r="I24" s="7">
        <v>159</v>
      </c>
      <c r="J24" s="7">
        <f>2*E24+F24</f>
        <v>18</v>
      </c>
      <c r="K24" s="8">
        <f>H24/D24</f>
        <v>1.8913043478260869</v>
      </c>
      <c r="L24" s="22">
        <v>1</v>
      </c>
      <c r="M24" s="8">
        <f>I24/D24</f>
        <v>3.4565217391304346</v>
      </c>
      <c r="N24" s="13">
        <f>33/5</f>
        <v>6.6</v>
      </c>
      <c r="O24" s="23">
        <v>5</v>
      </c>
    </row>
    <row r="25" spans="1:15" x14ac:dyDescent="0.3">
      <c r="A25" s="7">
        <v>11</v>
      </c>
      <c r="B25" s="7" t="s">
        <v>28</v>
      </c>
      <c r="C25" s="7" t="s">
        <v>30</v>
      </c>
      <c r="D25" s="7">
        <v>11</v>
      </c>
      <c r="E25" s="7">
        <f>3</f>
        <v>3</v>
      </c>
      <c r="F25" s="7">
        <v>3</v>
      </c>
      <c r="G25" s="7">
        <v>5</v>
      </c>
      <c r="H25" s="7">
        <f>21+3+13</f>
        <v>37</v>
      </c>
      <c r="I25" s="7">
        <f>13+8+15</f>
        <v>36</v>
      </c>
      <c r="J25" s="7">
        <f>2*E25+F25</f>
        <v>9</v>
      </c>
      <c r="K25" s="8">
        <f>H25/D25</f>
        <v>3.3636363636363638</v>
      </c>
      <c r="L25" s="7">
        <v>0</v>
      </c>
      <c r="M25" s="8">
        <f>I25/D25</f>
        <v>3.2727272727272729</v>
      </c>
      <c r="N25" s="13">
        <f>4/1</f>
        <v>4</v>
      </c>
      <c r="O25" s="23">
        <v>4</v>
      </c>
    </row>
    <row r="26" spans="1:15" x14ac:dyDescent="0.3">
      <c r="D26">
        <f>SUM(D15:D25)/2</f>
        <v>243</v>
      </c>
      <c r="H26">
        <f>SUM(H15:H25)</f>
        <v>1260</v>
      </c>
      <c r="I26">
        <f>SUM(I15:I25)</f>
        <v>1260</v>
      </c>
    </row>
    <row r="27" spans="1:15" x14ac:dyDescent="0.3">
      <c r="H27">
        <f>H26/D26</f>
        <v>5.1851851851851851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zoomScale="115" zoomScaleNormal="115" workbookViewId="0">
      <selection sqref="A1:O11"/>
    </sheetView>
  </sheetViews>
  <sheetFormatPr defaultRowHeight="14.4" x14ac:dyDescent="0.3"/>
  <sheetData>
    <row r="1" spans="1:15" ht="23.4" x14ac:dyDescent="0.45">
      <c r="D1" s="2" t="s">
        <v>32</v>
      </c>
    </row>
    <row r="2" spans="1:15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5" t="s">
        <v>14</v>
      </c>
    </row>
    <row r="3" spans="1:15" x14ac:dyDescent="0.3">
      <c r="A3" s="7">
        <v>1</v>
      </c>
      <c r="B3" s="7" t="s">
        <v>29</v>
      </c>
      <c r="C3" s="7" t="s">
        <v>27</v>
      </c>
      <c r="D3" s="7">
        <v>10</v>
      </c>
      <c r="E3" s="7">
        <v>7</v>
      </c>
      <c r="F3" s="7">
        <v>1</v>
      </c>
      <c r="G3" s="7">
        <v>2</v>
      </c>
      <c r="H3" s="7">
        <f>25+8+11</f>
        <v>44</v>
      </c>
      <c r="I3" s="7">
        <f>16+7+5</f>
        <v>28</v>
      </c>
      <c r="J3" s="7">
        <f>2*E3+F3</f>
        <v>15</v>
      </c>
      <c r="K3" s="8">
        <f>H3/D3</f>
        <v>4.4000000000000004</v>
      </c>
      <c r="L3" s="7">
        <v>0</v>
      </c>
      <c r="M3" s="8">
        <f>I3/D3</f>
        <v>2.8</v>
      </c>
      <c r="N3" s="7"/>
      <c r="O3" s="9">
        <v>11</v>
      </c>
    </row>
    <row r="4" spans="1:15" x14ac:dyDescent="0.3">
      <c r="A4" s="7">
        <v>2</v>
      </c>
      <c r="B4" s="7" t="s">
        <v>26</v>
      </c>
      <c r="C4" s="7" t="s">
        <v>22</v>
      </c>
      <c r="D4" s="7">
        <v>10</v>
      </c>
      <c r="E4" s="7">
        <v>5</v>
      </c>
      <c r="F4" s="7">
        <v>1</v>
      </c>
      <c r="G4" s="7">
        <v>4</v>
      </c>
      <c r="H4" s="7">
        <f>13+8+5</f>
        <v>26</v>
      </c>
      <c r="I4" s="7">
        <f>9+3+11</f>
        <v>23</v>
      </c>
      <c r="J4" s="7">
        <f t="shared" ref="J4:J9" si="0">2*E4+F4</f>
        <v>11</v>
      </c>
      <c r="K4" s="8">
        <f t="shared" ref="K4:K9" si="1">H4/D4</f>
        <v>2.6</v>
      </c>
      <c r="L4" s="7">
        <v>2</v>
      </c>
      <c r="M4" s="8">
        <f t="shared" ref="M4:M9" si="2">I4/D4</f>
        <v>2.2999999999999998</v>
      </c>
      <c r="N4" s="7"/>
      <c r="O4" s="9">
        <v>8</v>
      </c>
    </row>
    <row r="5" spans="1:15" x14ac:dyDescent="0.3">
      <c r="A5" s="7">
        <v>3</v>
      </c>
      <c r="B5" s="7" t="s">
        <v>20</v>
      </c>
      <c r="C5" s="7" t="s">
        <v>15</v>
      </c>
      <c r="D5" s="7">
        <v>11</v>
      </c>
      <c r="E5" s="7">
        <v>5</v>
      </c>
      <c r="F5" s="7">
        <v>1</v>
      </c>
      <c r="G5" s="7">
        <v>5</v>
      </c>
      <c r="H5" s="7">
        <f>20+7+15</f>
        <v>42</v>
      </c>
      <c r="I5" s="7">
        <f>21+8+13</f>
        <v>42</v>
      </c>
      <c r="J5" s="7">
        <f t="shared" si="0"/>
        <v>11</v>
      </c>
      <c r="K5" s="8">
        <f t="shared" si="1"/>
        <v>3.8181818181818183</v>
      </c>
      <c r="L5" s="7">
        <v>0</v>
      </c>
      <c r="M5" s="8">
        <f t="shared" si="2"/>
        <v>3.8181818181818183</v>
      </c>
      <c r="N5" s="7"/>
      <c r="O5" s="9">
        <v>6</v>
      </c>
    </row>
    <row r="6" spans="1:15" x14ac:dyDescent="0.3">
      <c r="A6" s="7">
        <v>4</v>
      </c>
      <c r="B6" s="7" t="s">
        <v>28</v>
      </c>
      <c r="C6" s="7" t="s">
        <v>30</v>
      </c>
      <c r="D6" s="7">
        <v>11</v>
      </c>
      <c r="E6" s="7">
        <f>3</f>
        <v>3</v>
      </c>
      <c r="F6" s="7">
        <v>3</v>
      </c>
      <c r="G6" s="7">
        <v>5</v>
      </c>
      <c r="H6" s="7">
        <f>21+3+13</f>
        <v>37</v>
      </c>
      <c r="I6" s="7">
        <f>13+8+15</f>
        <v>36</v>
      </c>
      <c r="J6" s="7">
        <f t="shared" si="0"/>
        <v>9</v>
      </c>
      <c r="K6" s="8">
        <f t="shared" si="1"/>
        <v>3.3636363636363638</v>
      </c>
      <c r="L6" s="7">
        <v>0</v>
      </c>
      <c r="M6" s="8">
        <f t="shared" si="2"/>
        <v>3.2727272727272729</v>
      </c>
      <c r="N6" s="7"/>
      <c r="O6" s="11">
        <v>4</v>
      </c>
    </row>
    <row r="7" spans="1:15" x14ac:dyDescent="0.3">
      <c r="A7" s="7">
        <v>5</v>
      </c>
      <c r="B7" s="7" t="s">
        <v>29</v>
      </c>
      <c r="C7" s="7" t="s">
        <v>15</v>
      </c>
      <c r="D7" s="7">
        <v>10</v>
      </c>
      <c r="E7" s="7">
        <v>3</v>
      </c>
      <c r="F7" s="7">
        <v>3</v>
      </c>
      <c r="G7" s="7">
        <v>4</v>
      </c>
      <c r="H7" s="7">
        <f>11+8</f>
        <v>19</v>
      </c>
      <c r="I7" s="7">
        <f>18+4</f>
        <v>22</v>
      </c>
      <c r="J7" s="7">
        <f t="shared" si="0"/>
        <v>9</v>
      </c>
      <c r="K7" s="8">
        <f t="shared" si="1"/>
        <v>1.9</v>
      </c>
      <c r="L7" s="7">
        <v>1</v>
      </c>
      <c r="M7" s="8">
        <f t="shared" si="2"/>
        <v>2.2000000000000002</v>
      </c>
      <c r="N7" s="7"/>
      <c r="O7" s="11">
        <v>3</v>
      </c>
    </row>
    <row r="8" spans="1:15" x14ac:dyDescent="0.3">
      <c r="A8" s="7">
        <v>6</v>
      </c>
      <c r="B8" s="7" t="s">
        <v>25</v>
      </c>
      <c r="C8" s="7" t="s">
        <v>23</v>
      </c>
      <c r="D8" s="7">
        <v>10</v>
      </c>
      <c r="E8" s="7">
        <v>4</v>
      </c>
      <c r="F8" s="7">
        <v>1</v>
      </c>
      <c r="G8" s="7">
        <v>5</v>
      </c>
      <c r="H8" s="7">
        <f>16+3</f>
        <v>19</v>
      </c>
      <c r="I8" s="7">
        <f>22+4</f>
        <v>26</v>
      </c>
      <c r="J8" s="7">
        <f t="shared" si="0"/>
        <v>9</v>
      </c>
      <c r="K8" s="8">
        <f t="shared" si="1"/>
        <v>1.9</v>
      </c>
      <c r="L8" s="7">
        <v>2</v>
      </c>
      <c r="M8" s="8">
        <f t="shared" si="2"/>
        <v>2.6</v>
      </c>
      <c r="N8" s="7"/>
      <c r="O8" s="11">
        <v>2</v>
      </c>
    </row>
    <row r="9" spans="1:15" x14ac:dyDescent="0.3">
      <c r="A9" s="7">
        <v>7</v>
      </c>
      <c r="B9" s="7" t="s">
        <v>19</v>
      </c>
      <c r="C9" s="7" t="s">
        <v>16</v>
      </c>
      <c r="D9" s="7">
        <v>10</v>
      </c>
      <c r="E9" s="7">
        <v>2</v>
      </c>
      <c r="F9" s="7">
        <v>1</v>
      </c>
      <c r="G9" s="7">
        <v>7</v>
      </c>
      <c r="H9" s="7">
        <f>14+3</f>
        <v>17</v>
      </c>
      <c r="I9" s="7">
        <f>21+6</f>
        <v>27</v>
      </c>
      <c r="J9" s="7">
        <f t="shared" si="0"/>
        <v>5</v>
      </c>
      <c r="K9" s="8">
        <f t="shared" si="1"/>
        <v>1.7</v>
      </c>
      <c r="L9" s="7">
        <v>2</v>
      </c>
      <c r="M9" s="8">
        <f t="shared" si="2"/>
        <v>2.7</v>
      </c>
      <c r="N9" s="7"/>
      <c r="O9" s="11">
        <v>1</v>
      </c>
    </row>
    <row r="10" spans="1:15" x14ac:dyDescent="0.3">
      <c r="D10">
        <f>SUM(D3:D9)/2</f>
        <v>36</v>
      </c>
      <c r="H10">
        <f>SUM(H3:H9)</f>
        <v>204</v>
      </c>
      <c r="I10">
        <f>SUM(I3:I9)</f>
        <v>204</v>
      </c>
    </row>
    <row r="11" spans="1:15" x14ac:dyDescent="0.3">
      <c r="H11" s="12">
        <f>H10/D10</f>
        <v>5.666666666666667</v>
      </c>
    </row>
    <row r="13" spans="1:15" ht="23.4" x14ac:dyDescent="0.45">
      <c r="D13" s="2" t="s">
        <v>33</v>
      </c>
    </row>
    <row r="14" spans="1:15" x14ac:dyDescent="0.3">
      <c r="A14" s="3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5" t="s">
        <v>7</v>
      </c>
      <c r="I14" s="5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5" t="s">
        <v>13</v>
      </c>
      <c r="O14" s="5" t="s">
        <v>14</v>
      </c>
    </row>
    <row r="15" spans="1:15" x14ac:dyDescent="0.3">
      <c r="A15" s="7">
        <v>1</v>
      </c>
      <c r="B15" s="7" t="s">
        <v>26</v>
      </c>
      <c r="C15" s="7" t="s">
        <v>22</v>
      </c>
      <c r="D15" s="7">
        <v>19</v>
      </c>
      <c r="E15" s="7">
        <v>12</v>
      </c>
      <c r="F15" s="7">
        <v>2</v>
      </c>
      <c r="G15" s="7">
        <v>5</v>
      </c>
      <c r="H15" s="7">
        <f>31+26</f>
        <v>57</v>
      </c>
      <c r="I15" s="7">
        <f>14+23</f>
        <v>37</v>
      </c>
      <c r="J15" s="7">
        <f>2*E15+F15</f>
        <v>26</v>
      </c>
      <c r="K15" s="8">
        <f>H15/D15</f>
        <v>3</v>
      </c>
      <c r="L15" s="7">
        <v>3</v>
      </c>
      <c r="M15" s="8">
        <f>I15/D15</f>
        <v>1.9473684210526316</v>
      </c>
      <c r="N15" s="13">
        <f>3/2</f>
        <v>1.5</v>
      </c>
      <c r="O15" s="9">
        <f>9+8</f>
        <v>17</v>
      </c>
    </row>
    <row r="16" spans="1:15" x14ac:dyDescent="0.3">
      <c r="A16" s="7">
        <v>2</v>
      </c>
      <c r="B16" s="10" t="s">
        <v>20</v>
      </c>
      <c r="C16" s="10" t="s">
        <v>15</v>
      </c>
      <c r="D16" s="7">
        <v>21</v>
      </c>
      <c r="E16" s="7">
        <v>11</v>
      </c>
      <c r="F16" s="7">
        <v>2</v>
      </c>
      <c r="G16" s="7">
        <v>7</v>
      </c>
      <c r="H16" s="7">
        <f>32+42</f>
        <v>74</v>
      </c>
      <c r="I16" s="7">
        <f>20+42</f>
        <v>62</v>
      </c>
      <c r="J16" s="7">
        <f t="shared" ref="J16:J23" si="3">2*E16+F16</f>
        <v>24</v>
      </c>
      <c r="K16" s="8">
        <f t="shared" ref="K16:K23" si="4">H16/D16</f>
        <v>3.5238095238095237</v>
      </c>
      <c r="L16" s="7">
        <v>1</v>
      </c>
      <c r="M16" s="8">
        <f t="shared" ref="M16:M23" si="5">I16/D16</f>
        <v>2.9523809523809526</v>
      </c>
      <c r="N16" s="13">
        <f>5/2</f>
        <v>2.5</v>
      </c>
      <c r="O16" s="9">
        <v>12</v>
      </c>
    </row>
    <row r="17" spans="1:15" x14ac:dyDescent="0.3">
      <c r="A17" s="7">
        <v>3</v>
      </c>
      <c r="B17" s="7" t="s">
        <v>29</v>
      </c>
      <c r="C17" s="7" t="s">
        <v>27</v>
      </c>
      <c r="D17" s="7">
        <v>10</v>
      </c>
      <c r="E17" s="7">
        <v>7</v>
      </c>
      <c r="F17" s="7">
        <v>1</v>
      </c>
      <c r="G17" s="7">
        <v>2</v>
      </c>
      <c r="H17" s="7">
        <f>25+8+11</f>
        <v>44</v>
      </c>
      <c r="I17" s="7">
        <f>16+7+5</f>
        <v>28</v>
      </c>
      <c r="J17" s="7">
        <f>2*E17+F17</f>
        <v>15</v>
      </c>
      <c r="K17" s="8">
        <f>H17/D17</f>
        <v>4.4000000000000004</v>
      </c>
      <c r="L17" s="7">
        <v>0</v>
      </c>
      <c r="M17" s="8">
        <f>I17/D17</f>
        <v>2.8</v>
      </c>
      <c r="N17" s="13">
        <f>1/1</f>
        <v>1</v>
      </c>
      <c r="O17" s="9">
        <v>11</v>
      </c>
    </row>
    <row r="18" spans="1:15" x14ac:dyDescent="0.3">
      <c r="A18" s="7">
        <v>4</v>
      </c>
      <c r="B18" s="7" t="s">
        <v>25</v>
      </c>
      <c r="C18" s="7" t="s">
        <v>23</v>
      </c>
      <c r="D18" s="7">
        <v>19</v>
      </c>
      <c r="E18" s="7">
        <v>8</v>
      </c>
      <c r="F18" s="7">
        <v>1</v>
      </c>
      <c r="G18" s="7">
        <v>10</v>
      </c>
      <c r="H18" s="7">
        <f>16+19</f>
        <v>35</v>
      </c>
      <c r="I18" s="7">
        <f>26+26</f>
        <v>52</v>
      </c>
      <c r="J18" s="7">
        <f t="shared" si="3"/>
        <v>17</v>
      </c>
      <c r="K18" s="8">
        <f t="shared" si="4"/>
        <v>1.8421052631578947</v>
      </c>
      <c r="L18" s="7">
        <v>3</v>
      </c>
      <c r="M18" s="8">
        <f t="shared" si="5"/>
        <v>2.736842105263158</v>
      </c>
      <c r="N18" s="13">
        <f>9/2</f>
        <v>4.5</v>
      </c>
      <c r="O18" s="9">
        <v>6</v>
      </c>
    </row>
    <row r="19" spans="1:15" x14ac:dyDescent="0.3">
      <c r="A19" s="7">
        <v>5</v>
      </c>
      <c r="B19" s="7" t="s">
        <v>28</v>
      </c>
      <c r="C19" s="7" t="s">
        <v>30</v>
      </c>
      <c r="D19" s="7">
        <v>11</v>
      </c>
      <c r="E19" s="7">
        <f>3</f>
        <v>3</v>
      </c>
      <c r="F19" s="7">
        <v>3</v>
      </c>
      <c r="G19" s="7">
        <v>5</v>
      </c>
      <c r="H19" s="7">
        <f>21+3+13</f>
        <v>37</v>
      </c>
      <c r="I19" s="7">
        <f>13+8+15</f>
        <v>36</v>
      </c>
      <c r="J19" s="7">
        <f t="shared" si="3"/>
        <v>9</v>
      </c>
      <c r="K19" s="8">
        <f t="shared" si="4"/>
        <v>3.3636363636363638</v>
      </c>
      <c r="L19" s="7">
        <v>0</v>
      </c>
      <c r="M19" s="8">
        <f t="shared" si="5"/>
        <v>3.2727272727272729</v>
      </c>
      <c r="N19" s="13">
        <f>4/1</f>
        <v>4</v>
      </c>
      <c r="O19" s="11">
        <v>4</v>
      </c>
    </row>
    <row r="20" spans="1:15" x14ac:dyDescent="0.3">
      <c r="A20" s="7">
        <v>6</v>
      </c>
      <c r="B20" s="7" t="s">
        <v>17</v>
      </c>
      <c r="C20" s="7" t="s">
        <v>18</v>
      </c>
      <c r="D20" s="7">
        <v>10</v>
      </c>
      <c r="E20" s="7">
        <v>4</v>
      </c>
      <c r="F20" s="7">
        <v>0</v>
      </c>
      <c r="G20" s="7">
        <v>6</v>
      </c>
      <c r="H20" s="7">
        <f>9+3+2</f>
        <v>14</v>
      </c>
      <c r="I20" s="7">
        <f>8+7+4</f>
        <v>19</v>
      </c>
      <c r="J20" s="7">
        <f t="shared" si="3"/>
        <v>8</v>
      </c>
      <c r="K20" s="8">
        <f t="shared" si="4"/>
        <v>1.4</v>
      </c>
      <c r="L20" s="7">
        <v>2</v>
      </c>
      <c r="M20" s="8">
        <f t="shared" si="5"/>
        <v>1.9</v>
      </c>
      <c r="N20" s="13">
        <f>4/1</f>
        <v>4</v>
      </c>
      <c r="O20" s="11">
        <v>3</v>
      </c>
    </row>
    <row r="21" spans="1:15" x14ac:dyDescent="0.3">
      <c r="A21" s="7">
        <v>7</v>
      </c>
      <c r="B21" s="7" t="s">
        <v>29</v>
      </c>
      <c r="C21" s="7" t="s">
        <v>15</v>
      </c>
      <c r="D21" s="7">
        <v>10</v>
      </c>
      <c r="E21" s="7">
        <v>3</v>
      </c>
      <c r="F21" s="7">
        <v>3</v>
      </c>
      <c r="G21" s="7">
        <v>4</v>
      </c>
      <c r="H21" s="7">
        <f>11+8</f>
        <v>19</v>
      </c>
      <c r="I21" s="7">
        <f>18+4</f>
        <v>22</v>
      </c>
      <c r="J21" s="7">
        <f t="shared" si="3"/>
        <v>9</v>
      </c>
      <c r="K21" s="8">
        <f t="shared" si="4"/>
        <v>1.9</v>
      </c>
      <c r="L21" s="7">
        <v>1</v>
      </c>
      <c r="M21" s="8">
        <f t="shared" si="5"/>
        <v>2.2000000000000002</v>
      </c>
      <c r="N21" s="13">
        <f>5/1</f>
        <v>5</v>
      </c>
      <c r="O21" s="11">
        <v>3</v>
      </c>
    </row>
    <row r="22" spans="1:15" x14ac:dyDescent="0.3">
      <c r="A22" s="7">
        <v>8</v>
      </c>
      <c r="B22" s="7" t="s">
        <v>19</v>
      </c>
      <c r="C22" s="7" t="s">
        <v>16</v>
      </c>
      <c r="D22" s="7">
        <v>18</v>
      </c>
      <c r="E22" s="7">
        <v>4</v>
      </c>
      <c r="F22" s="7">
        <v>2</v>
      </c>
      <c r="G22" s="7">
        <v>12</v>
      </c>
      <c r="H22" s="7">
        <f>17+17</f>
        <v>34</v>
      </c>
      <c r="I22" s="7">
        <f>20+27</f>
        <v>47</v>
      </c>
      <c r="J22" s="7">
        <f t="shared" si="3"/>
        <v>10</v>
      </c>
      <c r="K22" s="8">
        <f t="shared" si="4"/>
        <v>1.8888888888888888</v>
      </c>
      <c r="L22" s="7">
        <v>2</v>
      </c>
      <c r="M22" s="8">
        <f t="shared" si="5"/>
        <v>2.6111111111111112</v>
      </c>
      <c r="N22" s="13">
        <f>12/2</f>
        <v>6</v>
      </c>
      <c r="O22" s="11">
        <v>3</v>
      </c>
    </row>
    <row r="23" spans="1:15" x14ac:dyDescent="0.3">
      <c r="A23" s="7">
        <v>9</v>
      </c>
      <c r="B23" s="7" t="s">
        <v>24</v>
      </c>
      <c r="C23" s="7" t="s">
        <v>23</v>
      </c>
      <c r="D23" s="7">
        <v>8</v>
      </c>
      <c r="E23" s="7">
        <v>1</v>
      </c>
      <c r="F23" s="7">
        <v>1</v>
      </c>
      <c r="G23" s="7">
        <v>6</v>
      </c>
      <c r="H23" s="7">
        <f>6+7</f>
        <v>13</v>
      </c>
      <c r="I23" s="7">
        <f>15+9</f>
        <v>24</v>
      </c>
      <c r="J23" s="7">
        <f t="shared" si="3"/>
        <v>3</v>
      </c>
      <c r="K23" s="8">
        <f t="shared" si="4"/>
        <v>1.625</v>
      </c>
      <c r="L23" s="7">
        <v>0</v>
      </c>
      <c r="M23" s="8">
        <f t="shared" si="5"/>
        <v>3</v>
      </c>
      <c r="N23" s="13">
        <f>6/1</f>
        <v>6</v>
      </c>
      <c r="O23" s="11">
        <v>1</v>
      </c>
    </row>
    <row r="24" spans="1:15" x14ac:dyDescent="0.3">
      <c r="D24">
        <f>SUM(D15:D23)/2</f>
        <v>63</v>
      </c>
      <c r="H24">
        <f>SUM(H15:H23)</f>
        <v>327</v>
      </c>
      <c r="I24" s="15">
        <f>SUM(I15:I23)</f>
        <v>327</v>
      </c>
      <c r="J24" s="14"/>
      <c r="K24" s="15"/>
      <c r="N24" s="20"/>
    </row>
    <row r="25" spans="1:15" x14ac:dyDescent="0.3">
      <c r="H25" s="12">
        <f>H24/D24</f>
        <v>5.1904761904761907</v>
      </c>
      <c r="I25" s="17"/>
      <c r="J25" s="16"/>
      <c r="K25" s="17"/>
      <c r="N25" s="20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"/>
  <sheetViews>
    <sheetView zoomScale="123" zoomScaleNormal="85" workbookViewId="0">
      <selection sqref="A1:O9"/>
    </sheetView>
  </sheetViews>
  <sheetFormatPr defaultRowHeight="14.4" x14ac:dyDescent="0.3"/>
  <sheetData>
    <row r="1" spans="1:16" ht="23.4" x14ac:dyDescent="0.45">
      <c r="D1" s="2" t="s">
        <v>34</v>
      </c>
    </row>
    <row r="2" spans="1:16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5" t="s">
        <v>14</v>
      </c>
    </row>
    <row r="3" spans="1:16" x14ac:dyDescent="0.3">
      <c r="A3" s="7">
        <v>1</v>
      </c>
      <c r="B3" s="7" t="s">
        <v>20</v>
      </c>
      <c r="C3" s="7" t="s">
        <v>15</v>
      </c>
      <c r="D3" s="7">
        <v>8</v>
      </c>
      <c r="E3" s="7">
        <v>6</v>
      </c>
      <c r="F3" s="7">
        <v>0</v>
      </c>
      <c r="G3" s="7">
        <v>2</v>
      </c>
      <c r="H3" s="7">
        <f>14+8+9</f>
        <v>31</v>
      </c>
      <c r="I3" s="7">
        <f>10+3+3</f>
        <v>16</v>
      </c>
      <c r="J3" s="7">
        <f>2*E3+F3</f>
        <v>12</v>
      </c>
      <c r="K3" s="8">
        <f>H3/D3</f>
        <v>3.875</v>
      </c>
      <c r="L3" s="7">
        <v>1</v>
      </c>
      <c r="M3" s="8">
        <f>I3/D3</f>
        <v>2</v>
      </c>
      <c r="N3" s="7"/>
      <c r="O3" s="9">
        <v>8</v>
      </c>
    </row>
    <row r="4" spans="1:16" x14ac:dyDescent="0.3">
      <c r="A4" s="7">
        <v>2</v>
      </c>
      <c r="B4" s="7" t="s">
        <v>26</v>
      </c>
      <c r="C4" s="7" t="s">
        <v>22</v>
      </c>
      <c r="D4" s="7">
        <v>9</v>
      </c>
      <c r="E4" s="7">
        <v>4</v>
      </c>
      <c r="F4" s="7">
        <v>1</v>
      </c>
      <c r="G4" s="7">
        <v>4</v>
      </c>
      <c r="H4" s="7">
        <f>15+12</f>
        <v>27</v>
      </c>
      <c r="I4" s="7">
        <f>11+7+9</f>
        <v>27</v>
      </c>
      <c r="J4" s="7">
        <f t="shared" ref="J4:J7" si="0">2*E4+F4</f>
        <v>9</v>
      </c>
      <c r="K4" s="8">
        <f t="shared" ref="K4:K7" si="1">H4/D4</f>
        <v>3</v>
      </c>
      <c r="L4" s="7">
        <v>0</v>
      </c>
      <c r="M4" s="8">
        <f t="shared" ref="M4:M7" si="2">I4/D4</f>
        <v>3</v>
      </c>
      <c r="N4" s="7"/>
      <c r="O4" s="9">
        <v>5</v>
      </c>
    </row>
    <row r="5" spans="1:16" x14ac:dyDescent="0.3">
      <c r="A5" s="7">
        <v>3</v>
      </c>
      <c r="B5" s="7" t="s">
        <v>17</v>
      </c>
      <c r="C5" s="7" t="s">
        <v>18</v>
      </c>
      <c r="D5" s="7">
        <v>8</v>
      </c>
      <c r="E5" s="7">
        <v>4</v>
      </c>
      <c r="F5" s="7">
        <v>1</v>
      </c>
      <c r="G5" s="7">
        <v>3</v>
      </c>
      <c r="H5" s="7">
        <f>9+3+7</f>
        <v>19</v>
      </c>
      <c r="I5" s="7">
        <f>9+8+2</f>
        <v>19</v>
      </c>
      <c r="J5" s="7">
        <f t="shared" si="0"/>
        <v>9</v>
      </c>
      <c r="K5" s="8">
        <f t="shared" si="1"/>
        <v>2.375</v>
      </c>
      <c r="L5" s="7">
        <v>1</v>
      </c>
      <c r="M5" s="8">
        <f t="shared" si="2"/>
        <v>2.375</v>
      </c>
      <c r="N5" s="7"/>
      <c r="O5" s="9">
        <v>3</v>
      </c>
    </row>
    <row r="6" spans="1:16" x14ac:dyDescent="0.3">
      <c r="A6" s="7">
        <v>4</v>
      </c>
      <c r="B6" s="7" t="s">
        <v>21</v>
      </c>
      <c r="C6" s="7" t="s">
        <v>15</v>
      </c>
      <c r="D6" s="7">
        <v>9</v>
      </c>
      <c r="E6" s="7">
        <v>3</v>
      </c>
      <c r="F6" s="7">
        <v>2</v>
      </c>
      <c r="G6" s="7">
        <v>4</v>
      </c>
      <c r="H6" s="7">
        <f>12+7+5</f>
        <v>24</v>
      </c>
      <c r="I6" s="7">
        <f>15+9+6</f>
        <v>30</v>
      </c>
      <c r="J6" s="7">
        <f t="shared" si="0"/>
        <v>8</v>
      </c>
      <c r="K6" s="8">
        <f t="shared" si="1"/>
        <v>2.6666666666666665</v>
      </c>
      <c r="L6" s="7">
        <v>0</v>
      </c>
      <c r="M6" s="8">
        <f t="shared" si="2"/>
        <v>3.3333333333333335</v>
      </c>
      <c r="N6" s="7"/>
      <c r="O6" s="11">
        <v>2</v>
      </c>
    </row>
    <row r="7" spans="1:16" x14ac:dyDescent="0.3">
      <c r="A7" s="7">
        <v>5</v>
      </c>
      <c r="B7" s="7" t="s">
        <v>19</v>
      </c>
      <c r="C7" s="7" t="s">
        <v>16</v>
      </c>
      <c r="D7" s="7">
        <v>6</v>
      </c>
      <c r="E7" s="7">
        <v>1</v>
      </c>
      <c r="F7" s="7">
        <v>0</v>
      </c>
      <c r="G7" s="7">
        <v>5</v>
      </c>
      <c r="H7" s="7">
        <f>6+4</f>
        <v>10</v>
      </c>
      <c r="I7" s="7">
        <f>11+8</f>
        <v>19</v>
      </c>
      <c r="J7" s="7">
        <f t="shared" si="0"/>
        <v>2</v>
      </c>
      <c r="K7" s="8">
        <f t="shared" si="1"/>
        <v>1.6666666666666667</v>
      </c>
      <c r="L7" s="7">
        <v>2</v>
      </c>
      <c r="M7" s="8">
        <f t="shared" si="2"/>
        <v>3.1666666666666665</v>
      </c>
      <c r="N7" s="7"/>
      <c r="O7" s="11">
        <v>1</v>
      </c>
    </row>
    <row r="8" spans="1:16" x14ac:dyDescent="0.3">
      <c r="D8">
        <f>SUM(D3:D7)/2</f>
        <v>20</v>
      </c>
      <c r="H8">
        <f>SUM(H3:H7)</f>
        <v>111</v>
      </c>
      <c r="I8">
        <f>SUM(I3:I7)</f>
        <v>111</v>
      </c>
    </row>
    <row r="9" spans="1:16" x14ac:dyDescent="0.3">
      <c r="H9" s="12">
        <f>H8/D8</f>
        <v>5.55</v>
      </c>
    </row>
    <row r="11" spans="1:16" ht="23.4" x14ac:dyDescent="0.45">
      <c r="D11" s="2" t="s">
        <v>35</v>
      </c>
    </row>
    <row r="12" spans="1:16" x14ac:dyDescent="0.3">
      <c r="A12" s="3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5" t="s">
        <v>7</v>
      </c>
      <c r="I12" s="5" t="s">
        <v>8</v>
      </c>
      <c r="J12" s="4" t="s">
        <v>9</v>
      </c>
      <c r="K12" s="4" t="s">
        <v>10</v>
      </c>
      <c r="L12" s="4" t="s">
        <v>11</v>
      </c>
      <c r="M12" s="4" t="s">
        <v>12</v>
      </c>
      <c r="N12" s="5" t="s">
        <v>13</v>
      </c>
      <c r="O12" s="5" t="s">
        <v>14</v>
      </c>
    </row>
    <row r="13" spans="1:16" x14ac:dyDescent="0.3">
      <c r="A13" s="7">
        <v>1</v>
      </c>
      <c r="B13" s="7" t="s">
        <v>26</v>
      </c>
      <c r="C13" s="7" t="s">
        <v>22</v>
      </c>
      <c r="D13" s="7">
        <f>19+9</f>
        <v>28</v>
      </c>
      <c r="E13" s="7">
        <v>16</v>
      </c>
      <c r="F13" s="7">
        <v>3</v>
      </c>
      <c r="G13" s="7">
        <v>9</v>
      </c>
      <c r="H13" s="7">
        <f>57+27</f>
        <v>84</v>
      </c>
      <c r="I13" s="7">
        <f>37+27</f>
        <v>64</v>
      </c>
      <c r="J13" s="7">
        <f>2*E13+F13</f>
        <v>35</v>
      </c>
      <c r="K13" s="8">
        <f>H13/D13</f>
        <v>3</v>
      </c>
      <c r="L13" s="7">
        <v>3</v>
      </c>
      <c r="M13" s="8">
        <f>I13/D13</f>
        <v>2.2857142857142856</v>
      </c>
      <c r="N13" s="13">
        <f>5/3</f>
        <v>1.6666666666666667</v>
      </c>
      <c r="O13" s="9">
        <f>17+5</f>
        <v>22</v>
      </c>
    </row>
    <row r="14" spans="1:16" x14ac:dyDescent="0.3">
      <c r="A14" s="7">
        <v>2</v>
      </c>
      <c r="B14" s="10" t="s">
        <v>20</v>
      </c>
      <c r="C14" s="10" t="s">
        <v>15</v>
      </c>
      <c r="D14" s="7">
        <v>29</v>
      </c>
      <c r="E14" s="7">
        <v>17</v>
      </c>
      <c r="F14" s="7">
        <v>2</v>
      </c>
      <c r="G14" s="7">
        <v>9</v>
      </c>
      <c r="H14" s="7">
        <f>74+31</f>
        <v>105</v>
      </c>
      <c r="I14" s="7">
        <f>62+16</f>
        <v>78</v>
      </c>
      <c r="J14" s="7">
        <f t="shared" ref="J14:J21" si="3">2*E14+F14</f>
        <v>36</v>
      </c>
      <c r="K14" s="8">
        <f t="shared" ref="K14:K21" si="4">H14/D14</f>
        <v>3.6206896551724137</v>
      </c>
      <c r="L14" s="7">
        <v>2</v>
      </c>
      <c r="M14" s="8">
        <f t="shared" ref="M14:M21" si="5">I14/D14</f>
        <v>2.6896551724137931</v>
      </c>
      <c r="N14" s="13">
        <f>6/3</f>
        <v>2</v>
      </c>
      <c r="O14" s="9">
        <v>20</v>
      </c>
    </row>
    <row r="15" spans="1:16" x14ac:dyDescent="0.3">
      <c r="A15" s="7">
        <v>3</v>
      </c>
      <c r="B15" s="7" t="s">
        <v>29</v>
      </c>
      <c r="C15" s="7" t="s">
        <v>27</v>
      </c>
      <c r="D15" s="7">
        <v>10</v>
      </c>
      <c r="E15" s="7">
        <v>7</v>
      </c>
      <c r="F15" s="7">
        <v>1</v>
      </c>
      <c r="G15" s="7">
        <v>2</v>
      </c>
      <c r="H15" s="7">
        <f>25+8+11</f>
        <v>44</v>
      </c>
      <c r="I15" s="7">
        <f>16+7+5</f>
        <v>28</v>
      </c>
      <c r="J15" s="7">
        <f>2*E15+F15</f>
        <v>15</v>
      </c>
      <c r="K15" s="8">
        <f>H15/D15</f>
        <v>4.4000000000000004</v>
      </c>
      <c r="L15" s="7">
        <v>0</v>
      </c>
      <c r="M15" s="8">
        <f>I15/D15</f>
        <v>2.8</v>
      </c>
      <c r="N15" s="13">
        <f>1/1</f>
        <v>1</v>
      </c>
      <c r="O15" s="9">
        <v>11</v>
      </c>
      <c r="P15" s="19"/>
    </row>
    <row r="16" spans="1:16" x14ac:dyDescent="0.3">
      <c r="A16" s="7">
        <v>4</v>
      </c>
      <c r="B16" s="7" t="s">
        <v>17</v>
      </c>
      <c r="C16" s="7" t="s">
        <v>18</v>
      </c>
      <c r="D16" s="7">
        <v>18</v>
      </c>
      <c r="E16" s="7">
        <v>8</v>
      </c>
      <c r="F16" s="7">
        <v>1</v>
      </c>
      <c r="G16" s="7">
        <v>9</v>
      </c>
      <c r="H16" s="7">
        <f>14+19</f>
        <v>33</v>
      </c>
      <c r="I16" s="7">
        <f>19+19</f>
        <v>38</v>
      </c>
      <c r="J16" s="7">
        <f>2*E16+F16</f>
        <v>17</v>
      </c>
      <c r="K16" s="8">
        <f>H16/D16</f>
        <v>1.8333333333333333</v>
      </c>
      <c r="L16" s="7">
        <v>3</v>
      </c>
      <c r="M16" s="8">
        <f>I16/D16</f>
        <v>2.1111111111111112</v>
      </c>
      <c r="N16" s="13">
        <f>7/2</f>
        <v>3.5</v>
      </c>
      <c r="O16" s="11">
        <v>6</v>
      </c>
    </row>
    <row r="17" spans="1:16" x14ac:dyDescent="0.3">
      <c r="A17" s="7">
        <v>5</v>
      </c>
      <c r="B17" s="7" t="s">
        <v>25</v>
      </c>
      <c r="C17" s="7" t="s">
        <v>23</v>
      </c>
      <c r="D17" s="7">
        <v>19</v>
      </c>
      <c r="E17" s="7">
        <v>8</v>
      </c>
      <c r="F17" s="7">
        <v>1</v>
      </c>
      <c r="G17" s="7">
        <v>10</v>
      </c>
      <c r="H17" s="7">
        <f>16+19</f>
        <v>35</v>
      </c>
      <c r="I17" s="7">
        <f>26+26</f>
        <v>52</v>
      </c>
      <c r="J17" s="7">
        <f t="shared" si="3"/>
        <v>17</v>
      </c>
      <c r="K17" s="8">
        <f t="shared" si="4"/>
        <v>1.8421052631578947</v>
      </c>
      <c r="L17" s="7">
        <v>3</v>
      </c>
      <c r="M17" s="8">
        <f t="shared" si="5"/>
        <v>2.736842105263158</v>
      </c>
      <c r="N17" s="13">
        <f>9/2</f>
        <v>4.5</v>
      </c>
      <c r="O17" s="9">
        <v>6</v>
      </c>
      <c r="P17" s="19"/>
    </row>
    <row r="18" spans="1:16" x14ac:dyDescent="0.3">
      <c r="A18" s="7">
        <v>6</v>
      </c>
      <c r="B18" s="7" t="s">
        <v>29</v>
      </c>
      <c r="C18" s="7" t="s">
        <v>15</v>
      </c>
      <c r="D18" s="7">
        <v>19</v>
      </c>
      <c r="E18" s="7">
        <v>6</v>
      </c>
      <c r="F18" s="7">
        <v>5</v>
      </c>
      <c r="G18" s="7">
        <v>8</v>
      </c>
      <c r="H18" s="7">
        <f>19+24</f>
        <v>43</v>
      </c>
      <c r="I18" s="7">
        <f>22+30</f>
        <v>52</v>
      </c>
      <c r="J18" s="7">
        <f>2*E18+F18</f>
        <v>17</v>
      </c>
      <c r="K18" s="8">
        <f>H18/D18</f>
        <v>2.263157894736842</v>
      </c>
      <c r="L18" s="7">
        <v>1</v>
      </c>
      <c r="M18" s="8">
        <f>I18/D18</f>
        <v>2.736842105263158</v>
      </c>
      <c r="N18" s="13">
        <f>9/2</f>
        <v>4.5</v>
      </c>
      <c r="O18" s="11">
        <f>5</f>
        <v>5</v>
      </c>
    </row>
    <row r="19" spans="1:16" x14ac:dyDescent="0.3">
      <c r="A19" s="7">
        <v>7</v>
      </c>
      <c r="B19" s="7" t="s">
        <v>28</v>
      </c>
      <c r="C19" s="7" t="s">
        <v>30</v>
      </c>
      <c r="D19" s="7">
        <v>11</v>
      </c>
      <c r="E19" s="7">
        <f>3</f>
        <v>3</v>
      </c>
      <c r="F19" s="7">
        <v>3</v>
      </c>
      <c r="G19" s="7">
        <v>5</v>
      </c>
      <c r="H19" s="7">
        <f>21+3+13</f>
        <v>37</v>
      </c>
      <c r="I19" s="7">
        <f>13+8+15</f>
        <v>36</v>
      </c>
      <c r="J19" s="7">
        <f t="shared" si="3"/>
        <v>9</v>
      </c>
      <c r="K19" s="8">
        <f t="shared" si="4"/>
        <v>3.3636363636363638</v>
      </c>
      <c r="L19" s="7">
        <v>0</v>
      </c>
      <c r="M19" s="8">
        <f t="shared" si="5"/>
        <v>3.2727272727272729</v>
      </c>
      <c r="N19" s="13">
        <f>4/1</f>
        <v>4</v>
      </c>
      <c r="O19" s="11">
        <v>4</v>
      </c>
    </row>
    <row r="20" spans="1:16" x14ac:dyDescent="0.3">
      <c r="A20" s="7">
        <v>8</v>
      </c>
      <c r="B20" s="7" t="s">
        <v>19</v>
      </c>
      <c r="C20" s="7" t="s">
        <v>16</v>
      </c>
      <c r="D20" s="7">
        <f>18+6</f>
        <v>24</v>
      </c>
      <c r="E20" s="7">
        <v>5</v>
      </c>
      <c r="F20" s="7">
        <v>2</v>
      </c>
      <c r="G20" s="7">
        <v>17</v>
      </c>
      <c r="H20" s="7">
        <v>44</v>
      </c>
      <c r="I20" s="7">
        <f>47+19</f>
        <v>66</v>
      </c>
      <c r="J20" s="7">
        <f t="shared" si="3"/>
        <v>12</v>
      </c>
      <c r="K20" s="8">
        <f t="shared" si="4"/>
        <v>1.8333333333333333</v>
      </c>
      <c r="L20" s="7">
        <v>4</v>
      </c>
      <c r="M20" s="8">
        <f t="shared" si="5"/>
        <v>2.75</v>
      </c>
      <c r="N20" s="13">
        <f>17/3</f>
        <v>5.666666666666667</v>
      </c>
      <c r="O20" s="11">
        <v>4</v>
      </c>
    </row>
    <row r="21" spans="1:16" x14ac:dyDescent="0.3">
      <c r="A21" s="7">
        <v>9</v>
      </c>
      <c r="B21" s="7" t="s">
        <v>24</v>
      </c>
      <c r="C21" s="7" t="s">
        <v>23</v>
      </c>
      <c r="D21" s="7">
        <v>8</v>
      </c>
      <c r="E21" s="7">
        <v>1</v>
      </c>
      <c r="F21" s="7">
        <v>1</v>
      </c>
      <c r="G21" s="7">
        <v>6</v>
      </c>
      <c r="H21" s="7">
        <f>6+7</f>
        <v>13</v>
      </c>
      <c r="I21" s="7">
        <f>15+9</f>
        <v>24</v>
      </c>
      <c r="J21" s="7">
        <f t="shared" si="3"/>
        <v>3</v>
      </c>
      <c r="K21" s="8">
        <f t="shared" si="4"/>
        <v>1.625</v>
      </c>
      <c r="L21" s="7">
        <v>0</v>
      </c>
      <c r="M21" s="8">
        <f t="shared" si="5"/>
        <v>3</v>
      </c>
      <c r="N21" s="13">
        <f>6/1</f>
        <v>6</v>
      </c>
      <c r="O21" s="11">
        <v>1</v>
      </c>
    </row>
    <row r="22" spans="1:16" x14ac:dyDescent="0.3">
      <c r="D22">
        <f>SUM(D13:D21)/2</f>
        <v>83</v>
      </c>
      <c r="H22">
        <f>SUM(H13:H21)</f>
        <v>438</v>
      </c>
      <c r="I22" s="15">
        <f>SUM(I13:I21)</f>
        <v>438</v>
      </c>
      <c r="J22" s="14"/>
      <c r="K22" s="15"/>
    </row>
    <row r="23" spans="1:16" x14ac:dyDescent="0.3">
      <c r="H23" s="12">
        <f>H22/D22</f>
        <v>5.2771084337349397</v>
      </c>
      <c r="I23" s="17"/>
      <c r="J23" s="16"/>
      <c r="K23" s="1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"/>
  <sheetViews>
    <sheetView zoomScale="104" workbookViewId="0">
      <selection sqref="A1:O11"/>
    </sheetView>
  </sheetViews>
  <sheetFormatPr defaultRowHeight="14.4" x14ac:dyDescent="0.3"/>
  <sheetData>
    <row r="1" spans="1:15" ht="23.4" x14ac:dyDescent="0.45">
      <c r="D1" s="2" t="s">
        <v>36</v>
      </c>
    </row>
    <row r="2" spans="1:15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5" t="s">
        <v>14</v>
      </c>
    </row>
    <row r="3" spans="1:15" x14ac:dyDescent="0.3">
      <c r="A3" s="7">
        <v>1</v>
      </c>
      <c r="B3" s="7" t="s">
        <v>29</v>
      </c>
      <c r="C3" s="7" t="s">
        <v>27</v>
      </c>
      <c r="D3" s="7">
        <v>11</v>
      </c>
      <c r="E3" s="7">
        <v>9</v>
      </c>
      <c r="F3" s="7">
        <v>0</v>
      </c>
      <c r="G3" s="7">
        <v>2</v>
      </c>
      <c r="H3" s="7">
        <f>20+7+10</f>
        <v>37</v>
      </c>
      <c r="I3" s="7">
        <f>10+2+10</f>
        <v>22</v>
      </c>
      <c r="J3" s="7">
        <f>2*E3+F3</f>
        <v>18</v>
      </c>
      <c r="K3" s="8">
        <f>H3/D3</f>
        <v>3.3636363636363638</v>
      </c>
      <c r="L3" s="7">
        <v>1</v>
      </c>
      <c r="M3" s="8">
        <f>I3/D3</f>
        <v>2</v>
      </c>
      <c r="N3" s="7"/>
      <c r="O3" s="9">
        <v>11</v>
      </c>
    </row>
    <row r="4" spans="1:15" x14ac:dyDescent="0.3">
      <c r="A4" s="7">
        <v>2</v>
      </c>
      <c r="B4" s="7" t="s">
        <v>37</v>
      </c>
      <c r="C4" s="7" t="s">
        <v>16</v>
      </c>
      <c r="D4" s="7">
        <v>11</v>
      </c>
      <c r="E4" s="7">
        <v>9</v>
      </c>
      <c r="F4" s="7">
        <v>0</v>
      </c>
      <c r="G4" s="7">
        <v>2</v>
      </c>
      <c r="H4" s="7">
        <f>20+6+10</f>
        <v>36</v>
      </c>
      <c r="I4" s="7">
        <f>6+3+10</f>
        <v>19</v>
      </c>
      <c r="J4" s="7">
        <f t="shared" ref="J4:J9" si="0">2*E4+F4</f>
        <v>18</v>
      </c>
      <c r="K4" s="8">
        <f t="shared" ref="K4:K9" si="1">H4/D4</f>
        <v>3.2727272727272729</v>
      </c>
      <c r="L4" s="7">
        <v>1</v>
      </c>
      <c r="M4" s="8">
        <f t="shared" ref="M4:M9" si="2">I4/D4</f>
        <v>1.7272727272727273</v>
      </c>
      <c r="N4" s="7"/>
      <c r="O4" s="9">
        <v>8</v>
      </c>
    </row>
    <row r="5" spans="1:15" x14ac:dyDescent="0.3">
      <c r="A5" s="7">
        <v>3</v>
      </c>
      <c r="B5" s="7" t="s">
        <v>26</v>
      </c>
      <c r="C5" s="7" t="s">
        <v>22</v>
      </c>
      <c r="D5" s="7">
        <v>10</v>
      </c>
      <c r="E5" s="7">
        <v>5</v>
      </c>
      <c r="F5" s="7">
        <v>0</v>
      </c>
      <c r="G5" s="7">
        <v>5</v>
      </c>
      <c r="H5" s="7">
        <f>17+2+8</f>
        <v>27</v>
      </c>
      <c r="I5" s="7">
        <f>10+7+3</f>
        <v>20</v>
      </c>
      <c r="J5" s="7">
        <f t="shared" si="0"/>
        <v>10</v>
      </c>
      <c r="K5" s="8">
        <f t="shared" si="1"/>
        <v>2.7</v>
      </c>
      <c r="L5" s="7">
        <v>2</v>
      </c>
      <c r="M5" s="8">
        <f t="shared" si="2"/>
        <v>2</v>
      </c>
      <c r="N5" s="7"/>
      <c r="O5" s="9">
        <v>6</v>
      </c>
    </row>
    <row r="6" spans="1:15" x14ac:dyDescent="0.3">
      <c r="A6" s="7">
        <v>4</v>
      </c>
      <c r="B6" s="7" t="s">
        <v>19</v>
      </c>
      <c r="C6" s="7" t="s">
        <v>16</v>
      </c>
      <c r="D6" s="7">
        <v>10</v>
      </c>
      <c r="E6" s="7">
        <v>2</v>
      </c>
      <c r="F6" s="7">
        <v>1</v>
      </c>
      <c r="G6" s="7">
        <v>7</v>
      </c>
      <c r="H6" s="7">
        <f>10+3+3</f>
        <v>16</v>
      </c>
      <c r="I6" s="7">
        <f>16+6+8</f>
        <v>30</v>
      </c>
      <c r="J6" s="7">
        <f t="shared" si="0"/>
        <v>5</v>
      </c>
      <c r="K6" s="8">
        <f t="shared" si="1"/>
        <v>1.6</v>
      </c>
      <c r="L6" s="7">
        <v>1</v>
      </c>
      <c r="M6" s="8">
        <f t="shared" si="2"/>
        <v>3</v>
      </c>
      <c r="N6" s="7"/>
      <c r="O6" s="11">
        <v>4</v>
      </c>
    </row>
    <row r="7" spans="1:15" x14ac:dyDescent="0.3">
      <c r="A7" s="7">
        <v>5</v>
      </c>
      <c r="B7" s="7" t="s">
        <v>25</v>
      </c>
      <c r="C7" s="7" t="s">
        <v>23</v>
      </c>
      <c r="D7" s="7">
        <v>10</v>
      </c>
      <c r="E7" s="7">
        <v>3</v>
      </c>
      <c r="F7" s="7">
        <v>2</v>
      </c>
      <c r="G7" s="7">
        <v>5</v>
      </c>
      <c r="H7" s="7">
        <f>6+10</f>
        <v>16</v>
      </c>
      <c r="I7" s="7">
        <f>23+5</f>
        <v>28</v>
      </c>
      <c r="J7" s="7">
        <f t="shared" si="0"/>
        <v>8</v>
      </c>
      <c r="K7" s="8">
        <f t="shared" si="1"/>
        <v>1.6</v>
      </c>
      <c r="L7" s="7">
        <v>2</v>
      </c>
      <c r="M7" s="8">
        <f t="shared" si="2"/>
        <v>2.8</v>
      </c>
      <c r="N7" s="7"/>
      <c r="O7" s="11">
        <v>3</v>
      </c>
    </row>
    <row r="8" spans="1:15" x14ac:dyDescent="0.3">
      <c r="A8" s="7">
        <v>6</v>
      </c>
      <c r="B8" s="7" t="s">
        <v>29</v>
      </c>
      <c r="C8" s="7" t="s">
        <v>38</v>
      </c>
      <c r="D8" s="7">
        <v>10</v>
      </c>
      <c r="E8" s="7">
        <v>4</v>
      </c>
      <c r="F8" s="7">
        <v>1</v>
      </c>
      <c r="G8" s="7">
        <v>5</v>
      </c>
      <c r="H8" s="7">
        <f>11+12</f>
        <v>23</v>
      </c>
      <c r="I8" s="7">
        <f>13+11</f>
        <v>24</v>
      </c>
      <c r="J8" s="7">
        <f t="shared" si="0"/>
        <v>9</v>
      </c>
      <c r="K8" s="8">
        <f t="shared" si="1"/>
        <v>2.2999999999999998</v>
      </c>
      <c r="L8" s="7">
        <v>2</v>
      </c>
      <c r="M8" s="8">
        <f t="shared" si="2"/>
        <v>2.4</v>
      </c>
      <c r="N8" s="7"/>
      <c r="O8" s="11">
        <v>2</v>
      </c>
    </row>
    <row r="9" spans="1:15" x14ac:dyDescent="0.3">
      <c r="A9" s="7">
        <v>7</v>
      </c>
      <c r="B9" s="7" t="s">
        <v>24</v>
      </c>
      <c r="C9" s="7" t="s">
        <v>23</v>
      </c>
      <c r="D9" s="7">
        <v>10</v>
      </c>
      <c r="E9" s="7">
        <v>1</v>
      </c>
      <c r="F9" s="7">
        <v>2</v>
      </c>
      <c r="G9" s="7">
        <v>7</v>
      </c>
      <c r="H9" s="7">
        <f>11+8</f>
        <v>19</v>
      </c>
      <c r="I9" s="7">
        <f>17+14</f>
        <v>31</v>
      </c>
      <c r="J9" s="7">
        <f t="shared" si="0"/>
        <v>4</v>
      </c>
      <c r="K9" s="8">
        <f t="shared" si="1"/>
        <v>1.9</v>
      </c>
      <c r="L9" s="7">
        <v>0</v>
      </c>
      <c r="M9" s="8">
        <f t="shared" si="2"/>
        <v>3.1</v>
      </c>
      <c r="N9" s="7"/>
      <c r="O9" s="11">
        <v>1</v>
      </c>
    </row>
    <row r="10" spans="1:15" x14ac:dyDescent="0.3">
      <c r="D10">
        <f>SUM(D3:D9)/2</f>
        <v>36</v>
      </c>
      <c r="H10">
        <f>SUM(H3:H9)</f>
        <v>174</v>
      </c>
      <c r="I10">
        <f>SUM(I3:I9)</f>
        <v>174</v>
      </c>
    </row>
    <row r="11" spans="1:15" x14ac:dyDescent="0.3">
      <c r="H11" s="12">
        <f>H10/D10</f>
        <v>4.833333333333333</v>
      </c>
    </row>
    <row r="13" spans="1:15" ht="23.4" x14ac:dyDescent="0.45">
      <c r="D13" s="2" t="s">
        <v>39</v>
      </c>
    </row>
    <row r="14" spans="1:15" x14ac:dyDescent="0.3">
      <c r="A14" s="3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5" t="s">
        <v>7</v>
      </c>
      <c r="I14" s="5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5" t="s">
        <v>13</v>
      </c>
      <c r="O14" s="5" t="s">
        <v>14</v>
      </c>
    </row>
    <row r="15" spans="1:15" x14ac:dyDescent="0.3">
      <c r="A15" s="7">
        <v>1</v>
      </c>
      <c r="B15" s="7" t="s">
        <v>26</v>
      </c>
      <c r="C15" s="7" t="s">
        <v>22</v>
      </c>
      <c r="D15" s="7">
        <v>38</v>
      </c>
      <c r="E15" s="7">
        <v>21</v>
      </c>
      <c r="F15" s="7">
        <v>3</v>
      </c>
      <c r="G15" s="7">
        <v>14</v>
      </c>
      <c r="H15" s="7">
        <f>84+27</f>
        <v>111</v>
      </c>
      <c r="I15" s="7">
        <f>64+20</f>
        <v>84</v>
      </c>
      <c r="J15" s="7">
        <f>2*E15+F15</f>
        <v>45</v>
      </c>
      <c r="K15" s="8">
        <f>H15/D15</f>
        <v>2.9210526315789473</v>
      </c>
      <c r="L15" s="7">
        <v>5</v>
      </c>
      <c r="M15" s="8">
        <f>I15/D15</f>
        <v>2.2105263157894739</v>
      </c>
      <c r="N15" s="13">
        <f>8/4</f>
        <v>2</v>
      </c>
      <c r="O15" s="9">
        <f>22+6</f>
        <v>28</v>
      </c>
    </row>
    <row r="16" spans="1:15" x14ac:dyDescent="0.3">
      <c r="A16" s="7">
        <v>2</v>
      </c>
      <c r="B16" s="7" t="s">
        <v>29</v>
      </c>
      <c r="C16" s="7" t="s">
        <v>27</v>
      </c>
      <c r="D16" s="7">
        <v>21</v>
      </c>
      <c r="E16" s="7">
        <v>16</v>
      </c>
      <c r="F16" s="7">
        <v>1</v>
      </c>
      <c r="G16" s="7">
        <v>4</v>
      </c>
      <c r="H16" s="7">
        <f>44+37</f>
        <v>81</v>
      </c>
      <c r="I16" s="7">
        <f>28+22</f>
        <v>50</v>
      </c>
      <c r="J16" s="7">
        <f>2*E16+F16</f>
        <v>33</v>
      </c>
      <c r="K16" s="8">
        <f>H16/D16</f>
        <v>3.8571428571428572</v>
      </c>
      <c r="L16" s="7">
        <v>1</v>
      </c>
      <c r="M16" s="8">
        <f>I16/D16</f>
        <v>2.3809523809523809</v>
      </c>
      <c r="N16" s="13">
        <f>2/2</f>
        <v>1</v>
      </c>
      <c r="O16" s="9">
        <v>22</v>
      </c>
    </row>
    <row r="17" spans="1:15" x14ac:dyDescent="0.3">
      <c r="A17" s="7">
        <v>3</v>
      </c>
      <c r="B17" s="10" t="s">
        <v>20</v>
      </c>
      <c r="C17" s="10" t="s">
        <v>15</v>
      </c>
      <c r="D17" s="7">
        <v>29</v>
      </c>
      <c r="E17" s="7">
        <v>17</v>
      </c>
      <c r="F17" s="7">
        <v>2</v>
      </c>
      <c r="G17" s="7">
        <v>9</v>
      </c>
      <c r="H17" s="7">
        <f>74+31</f>
        <v>105</v>
      </c>
      <c r="I17" s="7">
        <f>62+16</f>
        <v>78</v>
      </c>
      <c r="J17" s="7">
        <f t="shared" ref="J17:J24" si="3">2*E17+F17</f>
        <v>36</v>
      </c>
      <c r="K17" s="8">
        <f t="shared" ref="K17:K24" si="4">H17/D17</f>
        <v>3.6206896551724137</v>
      </c>
      <c r="L17" s="7">
        <v>2</v>
      </c>
      <c r="M17" s="8">
        <f t="shared" ref="M17:M24" si="5">I17/D17</f>
        <v>2.6896551724137931</v>
      </c>
      <c r="N17" s="13">
        <f>6/3</f>
        <v>2</v>
      </c>
      <c r="O17" s="9">
        <v>20</v>
      </c>
    </row>
    <row r="18" spans="1:15" x14ac:dyDescent="0.3">
      <c r="A18" s="7">
        <v>4</v>
      </c>
      <c r="B18" s="7" t="s">
        <v>25</v>
      </c>
      <c r="C18" s="7" t="s">
        <v>23</v>
      </c>
      <c r="D18" s="7">
        <v>29</v>
      </c>
      <c r="E18" s="7">
        <v>11</v>
      </c>
      <c r="F18" s="7">
        <v>3</v>
      </c>
      <c r="G18" s="7">
        <v>15</v>
      </c>
      <c r="H18" s="7">
        <f>35+16</f>
        <v>51</v>
      </c>
      <c r="I18" s="7">
        <f>52+28</f>
        <v>80</v>
      </c>
      <c r="J18" s="7">
        <f t="shared" si="3"/>
        <v>25</v>
      </c>
      <c r="K18" s="8">
        <f t="shared" si="4"/>
        <v>1.7586206896551724</v>
      </c>
      <c r="L18" s="7">
        <v>5</v>
      </c>
      <c r="M18" s="8">
        <f t="shared" si="5"/>
        <v>2.7586206896551726</v>
      </c>
      <c r="N18" s="13">
        <f>14/3</f>
        <v>4.666666666666667</v>
      </c>
      <c r="O18" s="9">
        <v>9</v>
      </c>
    </row>
    <row r="19" spans="1:15" x14ac:dyDescent="0.3">
      <c r="A19" s="7">
        <v>5</v>
      </c>
      <c r="B19" s="7" t="s">
        <v>37</v>
      </c>
      <c r="C19" s="7" t="s">
        <v>16</v>
      </c>
      <c r="D19" s="7">
        <v>11</v>
      </c>
      <c r="E19" s="7">
        <v>9</v>
      </c>
      <c r="F19" s="7">
        <v>0</v>
      </c>
      <c r="G19" s="7">
        <v>2</v>
      </c>
      <c r="H19" s="7">
        <f>20+6+10</f>
        <v>36</v>
      </c>
      <c r="I19" s="7">
        <f>6+3+10</f>
        <v>19</v>
      </c>
      <c r="J19" s="7">
        <f t="shared" si="3"/>
        <v>18</v>
      </c>
      <c r="K19" s="8">
        <f t="shared" si="4"/>
        <v>3.2727272727272729</v>
      </c>
      <c r="L19" s="7">
        <v>1</v>
      </c>
      <c r="M19" s="8">
        <f t="shared" si="5"/>
        <v>1.7272727272727273</v>
      </c>
      <c r="N19" s="13">
        <f>2/1</f>
        <v>2</v>
      </c>
      <c r="O19" s="9">
        <v>8</v>
      </c>
    </row>
    <row r="20" spans="1:15" x14ac:dyDescent="0.3">
      <c r="A20" s="7">
        <v>6</v>
      </c>
      <c r="B20" s="7" t="s">
        <v>19</v>
      </c>
      <c r="C20" s="7" t="s">
        <v>16</v>
      </c>
      <c r="D20" s="7">
        <v>34</v>
      </c>
      <c r="E20" s="7">
        <v>7</v>
      </c>
      <c r="F20" s="7">
        <v>3</v>
      </c>
      <c r="G20" s="7">
        <v>24</v>
      </c>
      <c r="H20" s="7">
        <f>44+16</f>
        <v>60</v>
      </c>
      <c r="I20" s="7">
        <f>66+30</f>
        <v>96</v>
      </c>
      <c r="J20" s="7">
        <f>2*E20+F20</f>
        <v>17</v>
      </c>
      <c r="K20" s="8">
        <f>H20/D20</f>
        <v>1.7647058823529411</v>
      </c>
      <c r="L20" s="7">
        <v>5</v>
      </c>
      <c r="M20" s="8">
        <f>I20/D20</f>
        <v>2.8235294117647061</v>
      </c>
      <c r="N20" s="13">
        <f>21/4</f>
        <v>5.25</v>
      </c>
      <c r="O20" s="11">
        <v>8</v>
      </c>
    </row>
    <row r="21" spans="1:15" x14ac:dyDescent="0.3">
      <c r="A21" s="7">
        <v>7</v>
      </c>
      <c r="B21" s="7" t="s">
        <v>29</v>
      </c>
      <c r="C21" s="7" t="s">
        <v>15</v>
      </c>
      <c r="D21" s="7">
        <v>29</v>
      </c>
      <c r="E21" s="7">
        <v>10</v>
      </c>
      <c r="F21" s="7">
        <v>6</v>
      </c>
      <c r="G21" s="7">
        <v>13</v>
      </c>
      <c r="H21" s="7">
        <f>43+23</f>
        <v>66</v>
      </c>
      <c r="I21" s="7">
        <f>52+24</f>
        <v>76</v>
      </c>
      <c r="J21" s="7">
        <f>2*E21+F21</f>
        <v>26</v>
      </c>
      <c r="K21" s="8">
        <f>H21/D21</f>
        <v>2.2758620689655173</v>
      </c>
      <c r="L21" s="7">
        <v>3</v>
      </c>
      <c r="M21" s="8">
        <f>I21/D21</f>
        <v>2.6206896551724137</v>
      </c>
      <c r="N21" s="13">
        <f>15/3</f>
        <v>5</v>
      </c>
      <c r="O21" s="11">
        <v>7</v>
      </c>
    </row>
    <row r="22" spans="1:15" x14ac:dyDescent="0.3">
      <c r="A22" s="7">
        <v>8</v>
      </c>
      <c r="B22" s="7" t="s">
        <v>17</v>
      </c>
      <c r="C22" s="7" t="s">
        <v>18</v>
      </c>
      <c r="D22" s="7">
        <v>18</v>
      </c>
      <c r="E22" s="7">
        <v>8</v>
      </c>
      <c r="F22" s="7">
        <v>1</v>
      </c>
      <c r="G22" s="7">
        <v>9</v>
      </c>
      <c r="H22" s="7">
        <f>14+19</f>
        <v>33</v>
      </c>
      <c r="I22" s="7">
        <f>19+19</f>
        <v>38</v>
      </c>
      <c r="J22" s="7">
        <f>2*E22+F22</f>
        <v>17</v>
      </c>
      <c r="K22" s="8">
        <f>H22/D22</f>
        <v>1.8333333333333333</v>
      </c>
      <c r="L22" s="7">
        <v>3</v>
      </c>
      <c r="M22" s="8">
        <f>I22/D22</f>
        <v>2.1111111111111112</v>
      </c>
      <c r="N22" s="13">
        <f>7/2</f>
        <v>3.5</v>
      </c>
      <c r="O22" s="11">
        <v>6</v>
      </c>
    </row>
    <row r="23" spans="1:15" x14ac:dyDescent="0.3">
      <c r="A23" s="7">
        <v>9</v>
      </c>
      <c r="B23" s="7" t="s">
        <v>28</v>
      </c>
      <c r="C23" s="7" t="s">
        <v>30</v>
      </c>
      <c r="D23" s="7">
        <v>11</v>
      </c>
      <c r="E23" s="7">
        <f>3</f>
        <v>3</v>
      </c>
      <c r="F23" s="7">
        <v>3</v>
      </c>
      <c r="G23" s="7">
        <v>5</v>
      </c>
      <c r="H23" s="7">
        <f>21+3+13</f>
        <v>37</v>
      </c>
      <c r="I23" s="7">
        <f>13+8+15</f>
        <v>36</v>
      </c>
      <c r="J23" s="7">
        <f t="shared" si="3"/>
        <v>9</v>
      </c>
      <c r="K23" s="8">
        <f t="shared" si="4"/>
        <v>3.3636363636363638</v>
      </c>
      <c r="L23" s="7">
        <v>0</v>
      </c>
      <c r="M23" s="8">
        <f t="shared" si="5"/>
        <v>3.2727272727272729</v>
      </c>
      <c r="N23" s="13">
        <f>4/1</f>
        <v>4</v>
      </c>
      <c r="O23" s="11">
        <v>4</v>
      </c>
    </row>
    <row r="24" spans="1:15" x14ac:dyDescent="0.3">
      <c r="A24" s="7">
        <v>10</v>
      </c>
      <c r="B24" s="7" t="s">
        <v>24</v>
      </c>
      <c r="C24" s="7" t="s">
        <v>23</v>
      </c>
      <c r="D24" s="7">
        <v>18</v>
      </c>
      <c r="E24" s="7">
        <v>2</v>
      </c>
      <c r="F24" s="7">
        <v>3</v>
      </c>
      <c r="G24" s="7">
        <v>13</v>
      </c>
      <c r="H24" s="7">
        <f>13+19</f>
        <v>32</v>
      </c>
      <c r="I24" s="7">
        <f>24+31</f>
        <v>55</v>
      </c>
      <c r="J24" s="7">
        <f t="shared" si="3"/>
        <v>7</v>
      </c>
      <c r="K24" s="8">
        <f t="shared" si="4"/>
        <v>1.7777777777777777</v>
      </c>
      <c r="L24" s="7">
        <v>0</v>
      </c>
      <c r="M24" s="8">
        <f t="shared" si="5"/>
        <v>3.0555555555555554</v>
      </c>
      <c r="N24" s="13">
        <f>13/2</f>
        <v>6.5</v>
      </c>
      <c r="O24" s="11">
        <v>2</v>
      </c>
    </row>
    <row r="25" spans="1:15" x14ac:dyDescent="0.3">
      <c r="D25">
        <f>SUM(D15:D24)/2</f>
        <v>119</v>
      </c>
      <c r="H25">
        <f>SUM(H15:H24)</f>
        <v>612</v>
      </c>
      <c r="I25" s="15">
        <f>SUM(I15:I24)</f>
        <v>612</v>
      </c>
      <c r="J25" s="14"/>
      <c r="K25" s="15"/>
    </row>
    <row r="26" spans="1:15" x14ac:dyDescent="0.3">
      <c r="H26" s="12">
        <f>H25/D25</f>
        <v>5.1428571428571432</v>
      </c>
      <c r="I26" s="17"/>
      <c r="J26" s="16"/>
      <c r="K26" s="17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"/>
  <sheetViews>
    <sheetView workbookViewId="0">
      <selection activeCell="A10" sqref="A10:O23"/>
    </sheetView>
  </sheetViews>
  <sheetFormatPr defaultRowHeight="14.4" x14ac:dyDescent="0.3"/>
  <sheetData>
    <row r="1" spans="1:15" ht="23.4" x14ac:dyDescent="0.45">
      <c r="D1" s="2" t="s">
        <v>40</v>
      </c>
    </row>
    <row r="2" spans="1:15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5" t="s">
        <v>14</v>
      </c>
    </row>
    <row r="3" spans="1:15" x14ac:dyDescent="0.3">
      <c r="A3" s="7">
        <v>1</v>
      </c>
      <c r="B3" s="7" t="s">
        <v>21</v>
      </c>
      <c r="C3" s="7" t="s">
        <v>15</v>
      </c>
      <c r="D3" s="7">
        <v>4</v>
      </c>
      <c r="E3" s="7">
        <v>3</v>
      </c>
      <c r="F3" s="7">
        <v>0</v>
      </c>
      <c r="G3" s="7">
        <v>1</v>
      </c>
      <c r="H3" s="7">
        <v>6</v>
      </c>
      <c r="I3" s="7">
        <v>3</v>
      </c>
      <c r="J3" s="7">
        <f>2*E3+F3</f>
        <v>6</v>
      </c>
      <c r="K3" s="8">
        <f>H3/D3</f>
        <v>1.5</v>
      </c>
      <c r="L3" s="7">
        <v>2</v>
      </c>
      <c r="M3" s="8">
        <f>I3/D3</f>
        <v>0.75</v>
      </c>
      <c r="N3" s="7"/>
      <c r="O3" s="9">
        <v>5</v>
      </c>
    </row>
    <row r="4" spans="1:15" x14ac:dyDescent="0.3">
      <c r="A4" s="7">
        <v>2</v>
      </c>
      <c r="B4" s="7" t="s">
        <v>17</v>
      </c>
      <c r="C4" s="7" t="s">
        <v>18</v>
      </c>
      <c r="D4" s="7">
        <v>4</v>
      </c>
      <c r="E4" s="7">
        <v>3</v>
      </c>
      <c r="F4" s="7">
        <v>0</v>
      </c>
      <c r="G4" s="7">
        <v>1</v>
      </c>
      <c r="H4" s="7">
        <v>11</v>
      </c>
      <c r="I4" s="7">
        <v>8</v>
      </c>
      <c r="J4" s="7">
        <f t="shared" ref="J4:J5" si="0">2*E4+F4</f>
        <v>6</v>
      </c>
      <c r="K4" s="8">
        <f t="shared" ref="K4:K5" si="1">H4/D4</f>
        <v>2.75</v>
      </c>
      <c r="L4" s="7">
        <v>0</v>
      </c>
      <c r="M4" s="8">
        <f t="shared" ref="M4:M5" si="2">I4/D4</f>
        <v>2</v>
      </c>
      <c r="N4" s="7"/>
      <c r="O4" s="9">
        <v>3</v>
      </c>
    </row>
    <row r="5" spans="1:15" x14ac:dyDescent="0.3">
      <c r="A5" s="7">
        <v>3</v>
      </c>
      <c r="B5" s="7" t="s">
        <v>19</v>
      </c>
      <c r="C5" s="7" t="s">
        <v>16</v>
      </c>
      <c r="D5" s="7">
        <v>4</v>
      </c>
      <c r="E5" s="7">
        <v>0</v>
      </c>
      <c r="F5" s="7">
        <v>0</v>
      </c>
      <c r="G5" s="7">
        <v>4</v>
      </c>
      <c r="H5" s="7">
        <v>6</v>
      </c>
      <c r="I5" s="7">
        <v>12</v>
      </c>
      <c r="J5" s="7">
        <f t="shared" si="0"/>
        <v>0</v>
      </c>
      <c r="K5" s="8">
        <f t="shared" si="1"/>
        <v>1.5</v>
      </c>
      <c r="L5" s="7">
        <v>0</v>
      </c>
      <c r="M5" s="8">
        <f t="shared" si="2"/>
        <v>3</v>
      </c>
      <c r="N5" s="7"/>
      <c r="O5" s="9">
        <v>1</v>
      </c>
    </row>
    <row r="6" spans="1:15" x14ac:dyDescent="0.3">
      <c r="D6">
        <f>SUM(D3:D5)/2</f>
        <v>6</v>
      </c>
      <c r="H6">
        <f>SUM(H3:H5)</f>
        <v>23</v>
      </c>
      <c r="I6">
        <f>SUM(I3:I5)</f>
        <v>23</v>
      </c>
    </row>
    <row r="7" spans="1:15" x14ac:dyDescent="0.3">
      <c r="J7">
        <f>I6/D6</f>
        <v>3.8333333333333335</v>
      </c>
    </row>
    <row r="10" spans="1:15" ht="23.4" x14ac:dyDescent="0.45">
      <c r="D10" s="2" t="s">
        <v>41</v>
      </c>
    </row>
    <row r="11" spans="1:15" x14ac:dyDescent="0.3">
      <c r="A11" s="3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5" t="s">
        <v>7</v>
      </c>
      <c r="I11" s="5" t="s">
        <v>8</v>
      </c>
      <c r="J11" s="4" t="s">
        <v>9</v>
      </c>
      <c r="K11" s="4" t="s">
        <v>10</v>
      </c>
      <c r="L11" s="4" t="s">
        <v>11</v>
      </c>
      <c r="M11" s="4" t="s">
        <v>12</v>
      </c>
      <c r="N11" s="5" t="s">
        <v>13</v>
      </c>
      <c r="O11" s="5" t="s">
        <v>14</v>
      </c>
    </row>
    <row r="12" spans="1:15" x14ac:dyDescent="0.3">
      <c r="A12" s="7">
        <v>1</v>
      </c>
      <c r="B12" s="7" t="s">
        <v>26</v>
      </c>
      <c r="C12" s="7" t="s">
        <v>22</v>
      </c>
      <c r="D12" s="7">
        <v>38</v>
      </c>
      <c r="E12" s="7">
        <v>21</v>
      </c>
      <c r="F12" s="7">
        <v>3</v>
      </c>
      <c r="G12" s="7">
        <v>14</v>
      </c>
      <c r="H12" s="7">
        <f>84+27</f>
        <v>111</v>
      </c>
      <c r="I12" s="7">
        <f>64+20</f>
        <v>84</v>
      </c>
      <c r="J12" s="7">
        <f>2*E12+F12</f>
        <v>45</v>
      </c>
      <c r="K12" s="8">
        <f>H12/D12</f>
        <v>2.9210526315789473</v>
      </c>
      <c r="L12" s="7">
        <v>5</v>
      </c>
      <c r="M12" s="8">
        <f>I12/D12</f>
        <v>2.2105263157894739</v>
      </c>
      <c r="N12" s="13">
        <f>8/4</f>
        <v>2</v>
      </c>
      <c r="O12" s="9">
        <v>28</v>
      </c>
    </row>
    <row r="13" spans="1:15" x14ac:dyDescent="0.3">
      <c r="A13" s="7">
        <v>2</v>
      </c>
      <c r="B13" s="7" t="s">
        <v>29</v>
      </c>
      <c r="C13" s="7" t="s">
        <v>27</v>
      </c>
      <c r="D13" s="7">
        <v>21</v>
      </c>
      <c r="E13" s="7">
        <v>16</v>
      </c>
      <c r="F13" s="7">
        <v>1</v>
      </c>
      <c r="G13" s="7">
        <v>4</v>
      </c>
      <c r="H13" s="7">
        <f>44+37</f>
        <v>81</v>
      </c>
      <c r="I13" s="7">
        <f>28+22</f>
        <v>50</v>
      </c>
      <c r="J13" s="7">
        <f>2*E13+F13</f>
        <v>33</v>
      </c>
      <c r="K13" s="8">
        <f>H13/D13</f>
        <v>3.8571428571428572</v>
      </c>
      <c r="L13" s="7">
        <v>1</v>
      </c>
      <c r="M13" s="8">
        <f>I13/D13</f>
        <v>2.3809523809523809</v>
      </c>
      <c r="N13" s="13">
        <f>2/2</f>
        <v>1</v>
      </c>
      <c r="O13" s="9">
        <v>22</v>
      </c>
    </row>
    <row r="14" spans="1:15" x14ac:dyDescent="0.3">
      <c r="A14" s="7">
        <v>3</v>
      </c>
      <c r="B14" s="10" t="s">
        <v>20</v>
      </c>
      <c r="C14" s="10" t="s">
        <v>15</v>
      </c>
      <c r="D14" s="7">
        <v>29</v>
      </c>
      <c r="E14" s="7">
        <v>17</v>
      </c>
      <c r="F14" s="7">
        <v>2</v>
      </c>
      <c r="G14" s="7">
        <v>9</v>
      </c>
      <c r="H14" s="7">
        <f>74+31</f>
        <v>105</v>
      </c>
      <c r="I14" s="7">
        <f>62+16</f>
        <v>78</v>
      </c>
      <c r="J14" s="7">
        <f t="shared" ref="J14:J21" si="3">2*E14+F14</f>
        <v>36</v>
      </c>
      <c r="K14" s="8">
        <f t="shared" ref="K14:K21" si="4">H14/D14</f>
        <v>3.6206896551724137</v>
      </c>
      <c r="L14" s="7">
        <v>2</v>
      </c>
      <c r="M14" s="8">
        <f t="shared" ref="M14:M21" si="5">I14/D14</f>
        <v>2.6896551724137931</v>
      </c>
      <c r="N14" s="13">
        <f>6/3</f>
        <v>2</v>
      </c>
      <c r="O14" s="9">
        <v>20</v>
      </c>
    </row>
    <row r="15" spans="1:15" x14ac:dyDescent="0.3">
      <c r="A15" s="7">
        <v>7</v>
      </c>
      <c r="B15" s="7" t="s">
        <v>29</v>
      </c>
      <c r="C15" s="7" t="s">
        <v>15</v>
      </c>
      <c r="D15" s="7">
        <v>33</v>
      </c>
      <c r="E15" s="7">
        <v>13</v>
      </c>
      <c r="F15" s="7">
        <v>6</v>
      </c>
      <c r="G15" s="7">
        <v>14</v>
      </c>
      <c r="H15" s="7">
        <v>72</v>
      </c>
      <c r="I15" s="7">
        <v>79</v>
      </c>
      <c r="J15" s="7">
        <f>2*E15+F15</f>
        <v>32</v>
      </c>
      <c r="K15" s="8">
        <f>H15/D15</f>
        <v>2.1818181818181817</v>
      </c>
      <c r="L15" s="7">
        <v>5</v>
      </c>
      <c r="M15" s="8">
        <f>I15/D15</f>
        <v>2.393939393939394</v>
      </c>
      <c r="N15" s="13">
        <f>16/4</f>
        <v>4</v>
      </c>
      <c r="O15" s="11">
        <v>12</v>
      </c>
    </row>
    <row r="16" spans="1:15" x14ac:dyDescent="0.3">
      <c r="A16" s="7">
        <v>8</v>
      </c>
      <c r="B16" s="7" t="s">
        <v>17</v>
      </c>
      <c r="C16" s="7" t="s">
        <v>18</v>
      </c>
      <c r="D16" s="7">
        <v>22</v>
      </c>
      <c r="E16" s="7">
        <v>11</v>
      </c>
      <c r="F16" s="7">
        <v>1</v>
      </c>
      <c r="G16" s="7">
        <v>10</v>
      </c>
      <c r="H16" s="7">
        <v>44</v>
      </c>
      <c r="I16" s="7">
        <v>46</v>
      </c>
      <c r="J16" s="7">
        <f>2*E16+F16</f>
        <v>23</v>
      </c>
      <c r="K16" s="8">
        <f>H16/D16</f>
        <v>2</v>
      </c>
      <c r="L16" s="7">
        <v>3</v>
      </c>
      <c r="M16" s="8">
        <f>I16/D16</f>
        <v>2.0909090909090908</v>
      </c>
      <c r="N16" s="13">
        <f>9/3</f>
        <v>3</v>
      </c>
      <c r="O16" s="11">
        <v>9</v>
      </c>
    </row>
    <row r="17" spans="1:15" x14ac:dyDescent="0.3">
      <c r="A17" s="7">
        <v>4</v>
      </c>
      <c r="B17" s="7" t="s">
        <v>25</v>
      </c>
      <c r="C17" s="7" t="s">
        <v>23</v>
      </c>
      <c r="D17" s="7">
        <v>29</v>
      </c>
      <c r="E17" s="7">
        <v>11</v>
      </c>
      <c r="F17" s="7">
        <v>3</v>
      </c>
      <c r="G17" s="7">
        <v>15</v>
      </c>
      <c r="H17" s="7">
        <f>35+16</f>
        <v>51</v>
      </c>
      <c r="I17" s="7">
        <f>52+28</f>
        <v>80</v>
      </c>
      <c r="J17" s="7">
        <f t="shared" si="3"/>
        <v>25</v>
      </c>
      <c r="K17" s="8">
        <f t="shared" si="4"/>
        <v>1.7586206896551724</v>
      </c>
      <c r="L17" s="7">
        <v>5</v>
      </c>
      <c r="M17" s="8">
        <f t="shared" si="5"/>
        <v>2.7586206896551726</v>
      </c>
      <c r="N17" s="13">
        <f>14/3</f>
        <v>4.666666666666667</v>
      </c>
      <c r="O17" s="9">
        <v>9</v>
      </c>
    </row>
    <row r="18" spans="1:15" x14ac:dyDescent="0.3">
      <c r="A18" s="7">
        <v>6</v>
      </c>
      <c r="B18" s="7" t="s">
        <v>19</v>
      </c>
      <c r="C18" s="7" t="s">
        <v>16</v>
      </c>
      <c r="D18" s="7">
        <v>38</v>
      </c>
      <c r="E18" s="7">
        <v>7</v>
      </c>
      <c r="F18" s="7">
        <v>3</v>
      </c>
      <c r="G18" s="7">
        <v>28</v>
      </c>
      <c r="H18" s="7">
        <v>66</v>
      </c>
      <c r="I18" s="7">
        <v>108</v>
      </c>
      <c r="J18" s="7">
        <f>2*E18+F18</f>
        <v>17</v>
      </c>
      <c r="K18" s="8">
        <f>H18/D18</f>
        <v>1.736842105263158</v>
      </c>
      <c r="L18" s="7">
        <v>5</v>
      </c>
      <c r="M18" s="8">
        <f>I18/D18</f>
        <v>2.8421052631578947</v>
      </c>
      <c r="N18" s="13">
        <f>24/5</f>
        <v>4.8</v>
      </c>
      <c r="O18" s="11">
        <v>9</v>
      </c>
    </row>
    <row r="19" spans="1:15" x14ac:dyDescent="0.3">
      <c r="A19" s="7">
        <v>5</v>
      </c>
      <c r="B19" s="7" t="s">
        <v>37</v>
      </c>
      <c r="C19" s="7" t="s">
        <v>16</v>
      </c>
      <c r="D19" s="7">
        <v>11</v>
      </c>
      <c r="E19" s="7">
        <v>9</v>
      </c>
      <c r="F19" s="7">
        <v>0</v>
      </c>
      <c r="G19" s="7">
        <v>2</v>
      </c>
      <c r="H19" s="7">
        <f>20+6+10</f>
        <v>36</v>
      </c>
      <c r="I19" s="7">
        <f>6+3+10</f>
        <v>19</v>
      </c>
      <c r="J19" s="7">
        <f>2*E19+F19</f>
        <v>18</v>
      </c>
      <c r="K19" s="8">
        <f>H19/D19</f>
        <v>3.2727272727272729</v>
      </c>
      <c r="L19" s="7">
        <v>1</v>
      </c>
      <c r="M19" s="8">
        <f>I19/D19</f>
        <v>1.7272727272727273</v>
      </c>
      <c r="N19" s="13">
        <f>2/1</f>
        <v>2</v>
      </c>
      <c r="O19" s="9">
        <v>8</v>
      </c>
    </row>
    <row r="20" spans="1:15" x14ac:dyDescent="0.3">
      <c r="A20" s="7">
        <v>9</v>
      </c>
      <c r="B20" s="7" t="s">
        <v>28</v>
      </c>
      <c r="C20" s="7" t="s">
        <v>30</v>
      </c>
      <c r="D20" s="7">
        <v>11</v>
      </c>
      <c r="E20" s="7">
        <f>3</f>
        <v>3</v>
      </c>
      <c r="F20" s="7">
        <v>3</v>
      </c>
      <c r="G20" s="7">
        <v>5</v>
      </c>
      <c r="H20" s="7">
        <f>21+3+13</f>
        <v>37</v>
      </c>
      <c r="I20" s="7">
        <f>13+8+15</f>
        <v>36</v>
      </c>
      <c r="J20" s="7">
        <f t="shared" si="3"/>
        <v>9</v>
      </c>
      <c r="K20" s="8">
        <f t="shared" si="4"/>
        <v>3.3636363636363638</v>
      </c>
      <c r="L20" s="7">
        <v>0</v>
      </c>
      <c r="M20" s="8">
        <f t="shared" si="5"/>
        <v>3.2727272727272729</v>
      </c>
      <c r="N20" s="13">
        <f>4/1</f>
        <v>4</v>
      </c>
      <c r="O20" s="11">
        <v>4</v>
      </c>
    </row>
    <row r="21" spans="1:15" x14ac:dyDescent="0.3">
      <c r="A21" s="7">
        <v>10</v>
      </c>
      <c r="B21" s="7" t="s">
        <v>24</v>
      </c>
      <c r="C21" s="7" t="s">
        <v>23</v>
      </c>
      <c r="D21" s="7">
        <v>18</v>
      </c>
      <c r="E21" s="7">
        <v>2</v>
      </c>
      <c r="F21" s="7">
        <v>3</v>
      </c>
      <c r="G21" s="7">
        <v>13</v>
      </c>
      <c r="H21" s="7">
        <f>13+19</f>
        <v>32</v>
      </c>
      <c r="I21" s="7">
        <f>24+31</f>
        <v>55</v>
      </c>
      <c r="J21" s="7">
        <f t="shared" si="3"/>
        <v>7</v>
      </c>
      <c r="K21" s="8">
        <f t="shared" si="4"/>
        <v>1.7777777777777777</v>
      </c>
      <c r="L21" s="7">
        <v>0</v>
      </c>
      <c r="M21" s="8">
        <f t="shared" si="5"/>
        <v>3.0555555555555554</v>
      </c>
      <c r="N21" s="13">
        <f>13/2</f>
        <v>6.5</v>
      </c>
      <c r="O21" s="11">
        <v>2</v>
      </c>
    </row>
    <row r="22" spans="1:15" x14ac:dyDescent="0.3">
      <c r="D22">
        <f>SUM(D12:D21)/2</f>
        <v>125</v>
      </c>
      <c r="H22">
        <f>SUM(H12:H21)</f>
        <v>635</v>
      </c>
      <c r="I22" s="15">
        <f>SUM(I12:I21)</f>
        <v>635</v>
      </c>
      <c r="J22" s="14"/>
      <c r="K22" s="15"/>
    </row>
    <row r="23" spans="1:15" x14ac:dyDescent="0.3">
      <c r="H23" s="12">
        <f>H22/D22</f>
        <v>5.08</v>
      </c>
      <c r="I23" s="17"/>
      <c r="J23" s="16"/>
      <c r="K23" s="17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5"/>
  <sheetViews>
    <sheetView workbookViewId="0">
      <selection activeCell="N23" sqref="N23"/>
    </sheetView>
  </sheetViews>
  <sheetFormatPr defaultRowHeight="14.4" x14ac:dyDescent="0.3"/>
  <cols>
    <col min="15" max="15" width="10.6640625" customWidth="1"/>
  </cols>
  <sheetData>
    <row r="1" spans="1:15" ht="23.4" x14ac:dyDescent="0.45">
      <c r="A1" s="1"/>
      <c r="D1" s="2" t="s">
        <v>42</v>
      </c>
    </row>
    <row r="2" spans="1:15" x14ac:dyDescent="0.3">
      <c r="A2" s="1"/>
    </row>
    <row r="3" spans="1:15" x14ac:dyDescent="0.3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5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5" t="s">
        <v>13</v>
      </c>
      <c r="O3" s="6" t="s">
        <v>14</v>
      </c>
    </row>
    <row r="4" spans="1:15" x14ac:dyDescent="0.3">
      <c r="A4" s="7">
        <v>1</v>
      </c>
      <c r="B4" s="7" t="s">
        <v>20</v>
      </c>
      <c r="C4" s="7" t="s">
        <v>15</v>
      </c>
      <c r="D4" s="7">
        <v>8</v>
      </c>
      <c r="E4" s="7">
        <v>5</v>
      </c>
      <c r="F4" s="7">
        <v>2</v>
      </c>
      <c r="G4" s="7">
        <v>1</v>
      </c>
      <c r="H4" s="7">
        <f>14+9+7</f>
        <v>30</v>
      </c>
      <c r="I4" s="7">
        <f>7+2+4</f>
        <v>13</v>
      </c>
      <c r="J4" s="7">
        <f>2*E4+F4</f>
        <v>12</v>
      </c>
      <c r="K4" s="8">
        <f>H4/D4</f>
        <v>3.75</v>
      </c>
      <c r="L4" s="7">
        <v>1</v>
      </c>
      <c r="M4" s="8">
        <f>I4/D4</f>
        <v>1.625</v>
      </c>
      <c r="N4" s="7"/>
      <c r="O4" s="9">
        <v>6</v>
      </c>
    </row>
    <row r="5" spans="1:15" x14ac:dyDescent="0.3">
      <c r="A5" s="7">
        <v>2</v>
      </c>
      <c r="B5" s="10" t="s">
        <v>21</v>
      </c>
      <c r="C5" s="10" t="s">
        <v>15</v>
      </c>
      <c r="D5" s="7">
        <v>8</v>
      </c>
      <c r="E5" s="7">
        <v>4</v>
      </c>
      <c r="F5" s="7">
        <v>2</v>
      </c>
      <c r="G5" s="7">
        <v>2</v>
      </c>
      <c r="H5" s="7">
        <f>8+4+4</f>
        <v>16</v>
      </c>
      <c r="I5" s="7">
        <f>4+3+7</f>
        <v>14</v>
      </c>
      <c r="J5" s="7">
        <f t="shared" ref="J5:J7" si="0">2*E5+F5</f>
        <v>10</v>
      </c>
      <c r="K5" s="8">
        <f t="shared" ref="K5:K7" si="1">H5/D5</f>
        <v>2</v>
      </c>
      <c r="L5" s="7">
        <v>0</v>
      </c>
      <c r="M5" s="8">
        <f t="shared" ref="M5:M7" si="2">I5/D5</f>
        <v>1.75</v>
      </c>
      <c r="N5" s="7"/>
      <c r="O5" s="9">
        <v>4</v>
      </c>
    </row>
    <row r="6" spans="1:15" x14ac:dyDescent="0.3">
      <c r="A6" s="7">
        <v>3</v>
      </c>
      <c r="B6" s="7" t="s">
        <v>19</v>
      </c>
      <c r="C6" s="7" t="s">
        <v>16</v>
      </c>
      <c r="D6" s="7">
        <v>8</v>
      </c>
      <c r="E6" s="7">
        <v>1</v>
      </c>
      <c r="F6" s="7">
        <v>2</v>
      </c>
      <c r="G6" s="7">
        <v>5</v>
      </c>
      <c r="H6" s="7">
        <f>4+3+7</f>
        <v>14</v>
      </c>
      <c r="I6" s="7">
        <f>16+4+6</f>
        <v>26</v>
      </c>
      <c r="J6" s="7">
        <f t="shared" si="0"/>
        <v>4</v>
      </c>
      <c r="K6" s="8">
        <f t="shared" si="1"/>
        <v>1.75</v>
      </c>
      <c r="L6" s="7">
        <v>0</v>
      </c>
      <c r="M6" s="8">
        <f t="shared" si="2"/>
        <v>3.25</v>
      </c>
      <c r="N6" s="7"/>
      <c r="O6" s="9">
        <v>2</v>
      </c>
    </row>
    <row r="7" spans="1:15" x14ac:dyDescent="0.3">
      <c r="A7" s="7">
        <v>4</v>
      </c>
      <c r="B7" s="7" t="s">
        <v>17</v>
      </c>
      <c r="C7" s="7" t="s">
        <v>18</v>
      </c>
      <c r="D7" s="7">
        <v>8</v>
      </c>
      <c r="E7" s="7">
        <v>2</v>
      </c>
      <c r="F7" s="7">
        <v>2</v>
      </c>
      <c r="G7" s="7">
        <v>4</v>
      </c>
      <c r="H7" s="7">
        <f>9+2+6</f>
        <v>17</v>
      </c>
      <c r="I7" s="7">
        <f>8+9+7</f>
        <v>24</v>
      </c>
      <c r="J7" s="7">
        <f t="shared" si="0"/>
        <v>6</v>
      </c>
      <c r="K7" s="8">
        <f t="shared" si="1"/>
        <v>2.125</v>
      </c>
      <c r="L7" s="7">
        <v>2</v>
      </c>
      <c r="M7" s="8">
        <f t="shared" si="2"/>
        <v>3</v>
      </c>
      <c r="N7" s="7"/>
      <c r="O7" s="11">
        <v>1</v>
      </c>
    </row>
    <row r="8" spans="1:15" x14ac:dyDescent="0.3">
      <c r="D8">
        <f>SUM(D4:D7)/2</f>
        <v>16</v>
      </c>
      <c r="H8">
        <f>SUM(H4:H7)</f>
        <v>77</v>
      </c>
      <c r="I8">
        <f>SUM(I4:I7)</f>
        <v>77</v>
      </c>
    </row>
    <row r="9" spans="1:15" x14ac:dyDescent="0.3">
      <c r="J9">
        <f>I8/D8</f>
        <v>4.8125</v>
      </c>
    </row>
    <row r="12" spans="1:15" ht="23.4" x14ac:dyDescent="0.45">
      <c r="D12" s="2" t="s">
        <v>43</v>
      </c>
    </row>
    <row r="13" spans="1:15" x14ac:dyDescent="0.3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5" t="s">
        <v>7</v>
      </c>
      <c r="I13" s="5" t="s">
        <v>8</v>
      </c>
      <c r="J13" s="4" t="s">
        <v>9</v>
      </c>
      <c r="K13" s="4" t="s">
        <v>10</v>
      </c>
      <c r="L13" s="4" t="s">
        <v>11</v>
      </c>
      <c r="M13" s="4" t="s">
        <v>12</v>
      </c>
      <c r="N13" s="5" t="s">
        <v>13</v>
      </c>
      <c r="O13" s="5" t="s">
        <v>14</v>
      </c>
    </row>
    <row r="14" spans="1:15" x14ac:dyDescent="0.3">
      <c r="A14" s="7">
        <v>1</v>
      </c>
      <c r="B14" s="7" t="s">
        <v>26</v>
      </c>
      <c r="C14" s="7" t="s">
        <v>22</v>
      </c>
      <c r="D14" s="7">
        <v>38</v>
      </c>
      <c r="E14" s="7">
        <v>21</v>
      </c>
      <c r="F14" s="7">
        <v>3</v>
      </c>
      <c r="G14" s="7">
        <v>14</v>
      </c>
      <c r="H14" s="7">
        <f>84+27</f>
        <v>111</v>
      </c>
      <c r="I14" s="7">
        <f>64+20</f>
        <v>84</v>
      </c>
      <c r="J14" s="7">
        <f t="shared" ref="J14:J19" si="3">2*E14+F14</f>
        <v>45</v>
      </c>
      <c r="K14" s="8">
        <f t="shared" ref="K14:K19" si="4">H14/D14</f>
        <v>2.9210526315789473</v>
      </c>
      <c r="L14" s="7">
        <v>5</v>
      </c>
      <c r="M14" s="8">
        <f t="shared" ref="M14:M19" si="5">I14/D14</f>
        <v>2.2105263157894739</v>
      </c>
      <c r="N14" s="13">
        <f>8/4</f>
        <v>2</v>
      </c>
      <c r="O14" s="9">
        <v>28</v>
      </c>
    </row>
    <row r="15" spans="1:15" x14ac:dyDescent="0.3">
      <c r="A15" s="7">
        <v>3</v>
      </c>
      <c r="B15" s="10" t="s">
        <v>20</v>
      </c>
      <c r="C15" s="10" t="s">
        <v>15</v>
      </c>
      <c r="D15" s="7">
        <v>37</v>
      </c>
      <c r="E15" s="7">
        <v>23</v>
      </c>
      <c r="F15" s="7">
        <v>4</v>
      </c>
      <c r="G15" s="7">
        <v>10</v>
      </c>
      <c r="H15" s="7">
        <f>105+30</f>
        <v>135</v>
      </c>
      <c r="I15" s="7">
        <f>78+13</f>
        <v>91</v>
      </c>
      <c r="J15" s="7">
        <f t="shared" si="3"/>
        <v>50</v>
      </c>
      <c r="K15" s="8">
        <f t="shared" si="4"/>
        <v>3.6486486486486487</v>
      </c>
      <c r="L15" s="7">
        <v>3</v>
      </c>
      <c r="M15" s="8">
        <f t="shared" si="5"/>
        <v>2.4594594594594597</v>
      </c>
      <c r="N15" s="13">
        <f>7/4</f>
        <v>1.75</v>
      </c>
      <c r="O15" s="9">
        <v>26</v>
      </c>
    </row>
    <row r="16" spans="1:15" x14ac:dyDescent="0.3">
      <c r="A16" s="7">
        <v>2</v>
      </c>
      <c r="B16" s="7" t="s">
        <v>29</v>
      </c>
      <c r="C16" s="7" t="s">
        <v>27</v>
      </c>
      <c r="D16" s="7">
        <v>21</v>
      </c>
      <c r="E16" s="7">
        <v>16</v>
      </c>
      <c r="F16" s="7">
        <v>1</v>
      </c>
      <c r="G16" s="7">
        <v>4</v>
      </c>
      <c r="H16" s="7">
        <f>44+37</f>
        <v>81</v>
      </c>
      <c r="I16" s="7">
        <f>28+22</f>
        <v>50</v>
      </c>
      <c r="J16" s="7">
        <f t="shared" si="3"/>
        <v>33</v>
      </c>
      <c r="K16" s="8">
        <f t="shared" si="4"/>
        <v>3.8571428571428572</v>
      </c>
      <c r="L16" s="7">
        <v>1</v>
      </c>
      <c r="M16" s="8">
        <f t="shared" si="5"/>
        <v>2.3809523809523809</v>
      </c>
      <c r="N16" s="13">
        <f>2/2</f>
        <v>1</v>
      </c>
      <c r="O16" s="9">
        <v>22</v>
      </c>
    </row>
    <row r="17" spans="1:15" x14ac:dyDescent="0.3">
      <c r="A17" s="7">
        <v>7</v>
      </c>
      <c r="B17" s="7" t="s">
        <v>29</v>
      </c>
      <c r="C17" s="7" t="s">
        <v>15</v>
      </c>
      <c r="D17" s="7">
        <f>33+8</f>
        <v>41</v>
      </c>
      <c r="E17" s="7">
        <v>17</v>
      </c>
      <c r="F17" s="7">
        <v>8</v>
      </c>
      <c r="G17" s="7">
        <v>16</v>
      </c>
      <c r="H17" s="7">
        <f>72+16</f>
        <v>88</v>
      </c>
      <c r="I17" s="7">
        <f>79+14</f>
        <v>93</v>
      </c>
      <c r="J17" s="7">
        <f t="shared" si="3"/>
        <v>42</v>
      </c>
      <c r="K17" s="8">
        <f t="shared" si="4"/>
        <v>2.1463414634146343</v>
      </c>
      <c r="L17" s="7">
        <v>5</v>
      </c>
      <c r="M17" s="8">
        <f t="shared" si="5"/>
        <v>2.2682926829268291</v>
      </c>
      <c r="N17" s="13">
        <f>18/5</f>
        <v>3.6</v>
      </c>
      <c r="O17" s="11">
        <v>16</v>
      </c>
    </row>
    <row r="18" spans="1:15" x14ac:dyDescent="0.3">
      <c r="A18" s="7">
        <v>6</v>
      </c>
      <c r="B18" s="7" t="s">
        <v>19</v>
      </c>
      <c r="C18" s="7" t="s">
        <v>16</v>
      </c>
      <c r="D18" s="7">
        <v>46</v>
      </c>
      <c r="E18" s="7">
        <v>8</v>
      </c>
      <c r="F18" s="7">
        <v>5</v>
      </c>
      <c r="G18" s="7">
        <v>33</v>
      </c>
      <c r="H18" s="7">
        <f>66+14</f>
        <v>80</v>
      </c>
      <c r="I18" s="7">
        <f>108+26</f>
        <v>134</v>
      </c>
      <c r="J18" s="7">
        <f t="shared" si="3"/>
        <v>21</v>
      </c>
      <c r="K18" s="8">
        <f t="shared" si="4"/>
        <v>1.7391304347826086</v>
      </c>
      <c r="L18" s="7">
        <v>5</v>
      </c>
      <c r="M18" s="8">
        <f t="shared" si="5"/>
        <v>2.9130434782608696</v>
      </c>
      <c r="N18" s="13">
        <f>27/6</f>
        <v>4.5</v>
      </c>
      <c r="O18" s="11">
        <v>11</v>
      </c>
    </row>
    <row r="19" spans="1:15" x14ac:dyDescent="0.3">
      <c r="A19" s="7">
        <v>8</v>
      </c>
      <c r="B19" s="7" t="s">
        <v>17</v>
      </c>
      <c r="C19" s="7" t="s">
        <v>18</v>
      </c>
      <c r="D19" s="7">
        <v>30</v>
      </c>
      <c r="E19" s="7">
        <v>13</v>
      </c>
      <c r="F19" s="7">
        <v>3</v>
      </c>
      <c r="G19" s="7">
        <v>14</v>
      </c>
      <c r="H19" s="7">
        <f>44+17</f>
        <v>61</v>
      </c>
      <c r="I19" s="7">
        <f>46+24</f>
        <v>70</v>
      </c>
      <c r="J19" s="7">
        <f t="shared" si="3"/>
        <v>29</v>
      </c>
      <c r="K19" s="8">
        <f t="shared" si="4"/>
        <v>2.0333333333333332</v>
      </c>
      <c r="L19" s="7">
        <v>5</v>
      </c>
      <c r="M19" s="8">
        <f t="shared" si="5"/>
        <v>2.3333333333333335</v>
      </c>
      <c r="N19" s="13">
        <f>13/4</f>
        <v>3.25</v>
      </c>
      <c r="O19" s="11">
        <v>10</v>
      </c>
    </row>
    <row r="20" spans="1:15" x14ac:dyDescent="0.3">
      <c r="A20" s="7">
        <v>4</v>
      </c>
      <c r="B20" s="7" t="s">
        <v>25</v>
      </c>
      <c r="C20" s="7" t="s">
        <v>23</v>
      </c>
      <c r="D20" s="7">
        <v>29</v>
      </c>
      <c r="E20" s="7">
        <v>11</v>
      </c>
      <c r="F20" s="7">
        <v>3</v>
      </c>
      <c r="G20" s="7">
        <v>15</v>
      </c>
      <c r="H20" s="7">
        <f>35+16</f>
        <v>51</v>
      </c>
      <c r="I20" s="7">
        <f>52+28</f>
        <v>80</v>
      </c>
      <c r="J20" s="7">
        <f t="shared" ref="J20:J23" si="6">2*E20+F20</f>
        <v>25</v>
      </c>
      <c r="K20" s="8">
        <f t="shared" ref="K20:K23" si="7">H20/D20</f>
        <v>1.7586206896551724</v>
      </c>
      <c r="L20" s="7">
        <v>5</v>
      </c>
      <c r="M20" s="8">
        <f t="shared" ref="M20:M23" si="8">I20/D20</f>
        <v>2.7586206896551726</v>
      </c>
      <c r="N20" s="13">
        <f>14/3</f>
        <v>4.666666666666667</v>
      </c>
      <c r="O20" s="9">
        <v>9</v>
      </c>
    </row>
    <row r="21" spans="1:15" x14ac:dyDescent="0.3">
      <c r="A21" s="7">
        <v>5</v>
      </c>
      <c r="B21" s="7" t="s">
        <v>37</v>
      </c>
      <c r="C21" s="7" t="s">
        <v>16</v>
      </c>
      <c r="D21" s="7">
        <v>11</v>
      </c>
      <c r="E21" s="7">
        <v>9</v>
      </c>
      <c r="F21" s="7">
        <v>0</v>
      </c>
      <c r="G21" s="7">
        <v>2</v>
      </c>
      <c r="H21" s="7">
        <f>20+6+10</f>
        <v>36</v>
      </c>
      <c r="I21" s="7">
        <f>6+3+10</f>
        <v>19</v>
      </c>
      <c r="J21" s="7">
        <f>2*E21+F21</f>
        <v>18</v>
      </c>
      <c r="K21" s="8">
        <f>H21/D21</f>
        <v>3.2727272727272729</v>
      </c>
      <c r="L21" s="7">
        <v>1</v>
      </c>
      <c r="M21" s="8">
        <f>I21/D21</f>
        <v>1.7272727272727273</v>
      </c>
      <c r="N21" s="13">
        <f>2/1</f>
        <v>2</v>
      </c>
      <c r="O21" s="9">
        <v>8</v>
      </c>
    </row>
    <row r="22" spans="1:15" x14ac:dyDescent="0.3">
      <c r="A22" s="7">
        <v>9</v>
      </c>
      <c r="B22" s="7" t="s">
        <v>28</v>
      </c>
      <c r="C22" s="7" t="s">
        <v>30</v>
      </c>
      <c r="D22" s="7">
        <v>11</v>
      </c>
      <c r="E22" s="7">
        <f>3</f>
        <v>3</v>
      </c>
      <c r="F22" s="7">
        <v>3</v>
      </c>
      <c r="G22" s="7">
        <v>5</v>
      </c>
      <c r="H22" s="7">
        <f>21+3+13</f>
        <v>37</v>
      </c>
      <c r="I22" s="7">
        <f>13+8+15</f>
        <v>36</v>
      </c>
      <c r="J22" s="7">
        <f t="shared" si="6"/>
        <v>9</v>
      </c>
      <c r="K22" s="8">
        <f t="shared" si="7"/>
        <v>3.3636363636363638</v>
      </c>
      <c r="L22" s="7">
        <v>0</v>
      </c>
      <c r="M22" s="8">
        <f t="shared" si="8"/>
        <v>3.2727272727272729</v>
      </c>
      <c r="N22" s="13">
        <f>4/1</f>
        <v>4</v>
      </c>
      <c r="O22" s="11">
        <v>4</v>
      </c>
    </row>
    <row r="23" spans="1:15" x14ac:dyDescent="0.3">
      <c r="A23" s="7">
        <v>10</v>
      </c>
      <c r="B23" s="7" t="s">
        <v>24</v>
      </c>
      <c r="C23" s="7" t="s">
        <v>23</v>
      </c>
      <c r="D23" s="7">
        <v>18</v>
      </c>
      <c r="E23" s="7">
        <v>2</v>
      </c>
      <c r="F23" s="7">
        <v>3</v>
      </c>
      <c r="G23" s="7">
        <v>13</v>
      </c>
      <c r="H23" s="7">
        <f>13+19</f>
        <v>32</v>
      </c>
      <c r="I23" s="7">
        <f>24+31</f>
        <v>55</v>
      </c>
      <c r="J23" s="7">
        <f t="shared" si="6"/>
        <v>7</v>
      </c>
      <c r="K23" s="8">
        <f t="shared" si="7"/>
        <v>1.7777777777777777</v>
      </c>
      <c r="L23" s="7">
        <v>0</v>
      </c>
      <c r="M23" s="8">
        <f t="shared" si="8"/>
        <v>3.0555555555555554</v>
      </c>
      <c r="N23" s="13">
        <f>13/2</f>
        <v>6.5</v>
      </c>
      <c r="O23" s="11">
        <v>2</v>
      </c>
    </row>
    <row r="24" spans="1:15" x14ac:dyDescent="0.3">
      <c r="D24">
        <f>SUM(D14:D23)/2</f>
        <v>141</v>
      </c>
      <c r="H24">
        <f>SUM(H14:H23)</f>
        <v>712</v>
      </c>
      <c r="I24" s="15">
        <f>SUM(I14:I23)</f>
        <v>712</v>
      </c>
      <c r="J24" s="14"/>
      <c r="K24" s="15"/>
    </row>
    <row r="25" spans="1:15" x14ac:dyDescent="0.3">
      <c r="H25" s="12">
        <f>H24/D24</f>
        <v>5.0496453900709222</v>
      </c>
      <c r="I25" s="17"/>
      <c r="J25" s="16"/>
      <c r="K25" s="17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0"/>
  <sheetViews>
    <sheetView topLeftCell="A7" workbookViewId="0">
      <selection activeCell="A15" sqref="A15:O30"/>
    </sheetView>
  </sheetViews>
  <sheetFormatPr defaultRowHeight="14.4" x14ac:dyDescent="0.3"/>
  <sheetData>
    <row r="1" spans="1:15" ht="23.4" x14ac:dyDescent="0.45">
      <c r="D1" s="2" t="s">
        <v>44</v>
      </c>
    </row>
    <row r="3" spans="1:15" x14ac:dyDescent="0.3">
      <c r="A3" s="3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6" t="s">
        <v>7</v>
      </c>
      <c r="I3" s="6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6" t="s">
        <v>13</v>
      </c>
      <c r="O3" s="6" t="s">
        <v>14</v>
      </c>
    </row>
    <row r="4" spans="1:15" x14ac:dyDescent="0.3">
      <c r="A4" s="7">
        <v>1</v>
      </c>
      <c r="B4" s="7" t="s">
        <v>37</v>
      </c>
      <c r="C4" s="7" t="s">
        <v>16</v>
      </c>
      <c r="D4" s="7">
        <v>12</v>
      </c>
      <c r="E4" s="7">
        <v>9</v>
      </c>
      <c r="F4" s="7">
        <v>2</v>
      </c>
      <c r="G4" s="7">
        <v>1</v>
      </c>
      <c r="H4" s="7">
        <f>27+10+7</f>
        <v>44</v>
      </c>
      <c r="I4" s="7">
        <f>8+8+5</f>
        <v>21</v>
      </c>
      <c r="J4" s="7">
        <f>2*E4+F4</f>
        <v>20</v>
      </c>
      <c r="K4" s="8">
        <f>H4/D4</f>
        <v>3.6666666666666665</v>
      </c>
      <c r="L4" s="7">
        <v>1</v>
      </c>
      <c r="M4" s="8">
        <f>I4/D4</f>
        <v>1.75</v>
      </c>
      <c r="N4" s="7"/>
      <c r="O4" s="23">
        <v>12</v>
      </c>
    </row>
    <row r="5" spans="1:15" x14ac:dyDescent="0.3">
      <c r="A5" s="7">
        <v>2</v>
      </c>
      <c r="B5" s="7" t="s">
        <v>29</v>
      </c>
      <c r="C5" s="7" t="s">
        <v>27</v>
      </c>
      <c r="D5" s="7">
        <v>13</v>
      </c>
      <c r="E5" s="7">
        <v>9</v>
      </c>
      <c r="F5" s="7">
        <v>2</v>
      </c>
      <c r="G5" s="7">
        <v>2</v>
      </c>
      <c r="H5" s="7">
        <f>24+10+5</f>
        <v>39</v>
      </c>
      <c r="I5" s="7">
        <f>14+9+7</f>
        <v>30</v>
      </c>
      <c r="J5" s="7">
        <f t="shared" ref="J5:J11" si="0">2*E5+F5</f>
        <v>20</v>
      </c>
      <c r="K5" s="8">
        <f t="shared" ref="K5:K11" si="1">H5/D5</f>
        <v>3</v>
      </c>
      <c r="L5" s="7">
        <v>0</v>
      </c>
      <c r="M5" s="8">
        <f t="shared" ref="M5:M11" si="2">I5/D5</f>
        <v>2.3076923076923075</v>
      </c>
      <c r="N5" s="7"/>
      <c r="O5" s="23">
        <v>9</v>
      </c>
    </row>
    <row r="6" spans="1:15" x14ac:dyDescent="0.3">
      <c r="A6" s="7">
        <v>3</v>
      </c>
      <c r="B6" s="22" t="s">
        <v>45</v>
      </c>
      <c r="C6" s="22" t="s">
        <v>46</v>
      </c>
      <c r="D6" s="7">
        <v>12</v>
      </c>
      <c r="E6" s="7">
        <v>5</v>
      </c>
      <c r="F6" s="7">
        <v>1</v>
      </c>
      <c r="G6" s="7">
        <v>6</v>
      </c>
      <c r="H6" s="7">
        <f>12+8+7</f>
        <v>27</v>
      </c>
      <c r="I6" s="7">
        <f>15+10+4</f>
        <v>29</v>
      </c>
      <c r="J6" s="7">
        <f t="shared" si="0"/>
        <v>11</v>
      </c>
      <c r="K6" s="8">
        <f t="shared" si="1"/>
        <v>2.25</v>
      </c>
      <c r="L6" s="7">
        <v>2</v>
      </c>
      <c r="M6" s="8">
        <f t="shared" si="2"/>
        <v>2.4166666666666665</v>
      </c>
      <c r="N6" s="7"/>
      <c r="O6" s="23">
        <v>7</v>
      </c>
    </row>
    <row r="7" spans="1:15" x14ac:dyDescent="0.3">
      <c r="A7" s="7">
        <v>4</v>
      </c>
      <c r="B7" s="22" t="s">
        <v>20</v>
      </c>
      <c r="C7" s="22" t="s">
        <v>15</v>
      </c>
      <c r="D7" s="7">
        <v>13</v>
      </c>
      <c r="E7" s="7">
        <v>6</v>
      </c>
      <c r="F7" s="7">
        <v>0</v>
      </c>
      <c r="G7" s="7">
        <v>7</v>
      </c>
      <c r="H7" s="7">
        <f>20+9+4</f>
        <v>33</v>
      </c>
      <c r="I7" s="7">
        <f>15+10+7</f>
        <v>32</v>
      </c>
      <c r="J7" s="7">
        <f t="shared" si="0"/>
        <v>12</v>
      </c>
      <c r="K7" s="8">
        <f t="shared" si="1"/>
        <v>2.5384615384615383</v>
      </c>
      <c r="L7" s="7">
        <v>1</v>
      </c>
      <c r="M7" s="8">
        <f t="shared" si="2"/>
        <v>2.4615384615384617</v>
      </c>
      <c r="N7" s="7"/>
      <c r="O7" s="23">
        <v>5</v>
      </c>
    </row>
    <row r="8" spans="1:15" x14ac:dyDescent="0.3">
      <c r="A8" s="7">
        <v>5</v>
      </c>
      <c r="B8" s="22" t="s">
        <v>29</v>
      </c>
      <c r="C8" s="22" t="s">
        <v>15</v>
      </c>
      <c r="D8" s="7">
        <v>10</v>
      </c>
      <c r="E8" s="7">
        <v>4</v>
      </c>
      <c r="F8" s="7">
        <v>2</v>
      </c>
      <c r="G8" s="7">
        <v>4</v>
      </c>
      <c r="H8" s="7">
        <f>18+10</f>
        <v>28</v>
      </c>
      <c r="I8" s="7">
        <f>18+6</f>
        <v>24</v>
      </c>
      <c r="J8" s="7">
        <f t="shared" si="0"/>
        <v>10</v>
      </c>
      <c r="K8" s="8">
        <f t="shared" si="1"/>
        <v>2.8</v>
      </c>
      <c r="L8" s="7">
        <v>1</v>
      </c>
      <c r="M8" s="8">
        <f t="shared" si="2"/>
        <v>2.4</v>
      </c>
      <c r="N8" s="7"/>
      <c r="O8" s="23">
        <v>4</v>
      </c>
    </row>
    <row r="9" spans="1:15" x14ac:dyDescent="0.3">
      <c r="A9" s="7">
        <v>6</v>
      </c>
      <c r="B9" s="22" t="s">
        <v>19</v>
      </c>
      <c r="C9" s="22" t="s">
        <v>16</v>
      </c>
      <c r="D9" s="7">
        <v>10</v>
      </c>
      <c r="E9" s="7">
        <v>4</v>
      </c>
      <c r="F9" s="7">
        <v>1</v>
      </c>
      <c r="G9" s="7">
        <v>5</v>
      </c>
      <c r="H9" s="7">
        <f>18+7</f>
        <v>25</v>
      </c>
      <c r="I9" s="7">
        <v>23</v>
      </c>
      <c r="J9" s="7">
        <f t="shared" si="0"/>
        <v>9</v>
      </c>
      <c r="K9" s="8">
        <f t="shared" si="1"/>
        <v>2.5</v>
      </c>
      <c r="L9" s="7">
        <v>1</v>
      </c>
      <c r="M9" s="8">
        <f t="shared" si="2"/>
        <v>2.2999999999999998</v>
      </c>
      <c r="N9" s="7"/>
      <c r="O9" s="23">
        <v>3</v>
      </c>
    </row>
    <row r="10" spans="1:15" x14ac:dyDescent="0.3">
      <c r="A10" s="7">
        <v>7</v>
      </c>
      <c r="B10" s="22" t="s">
        <v>25</v>
      </c>
      <c r="C10" s="22" t="s">
        <v>23</v>
      </c>
      <c r="D10" s="7">
        <v>10</v>
      </c>
      <c r="E10" s="7">
        <v>1</v>
      </c>
      <c r="F10" s="7">
        <v>4</v>
      </c>
      <c r="G10" s="7">
        <v>5</v>
      </c>
      <c r="H10" s="7">
        <f>12+6</f>
        <v>18</v>
      </c>
      <c r="I10" s="7">
        <v>33</v>
      </c>
      <c r="J10" s="7">
        <f t="shared" si="0"/>
        <v>6</v>
      </c>
      <c r="K10" s="8">
        <f t="shared" si="1"/>
        <v>1.8</v>
      </c>
      <c r="L10" s="7">
        <v>0</v>
      </c>
      <c r="M10" s="8">
        <f t="shared" si="2"/>
        <v>3.3</v>
      </c>
      <c r="N10" s="7"/>
      <c r="O10" s="23">
        <v>2</v>
      </c>
    </row>
    <row r="11" spans="1:15" x14ac:dyDescent="0.3">
      <c r="A11" s="7">
        <v>8</v>
      </c>
      <c r="B11" s="22" t="s">
        <v>24</v>
      </c>
      <c r="C11" s="22" t="s">
        <v>23</v>
      </c>
      <c r="D11" s="7">
        <v>10</v>
      </c>
      <c r="E11" s="7">
        <v>0</v>
      </c>
      <c r="F11" s="7">
        <v>2</v>
      </c>
      <c r="G11" s="7">
        <v>8</v>
      </c>
      <c r="H11" s="7">
        <f>17</f>
        <v>17</v>
      </c>
      <c r="I11" s="7">
        <v>39</v>
      </c>
      <c r="J11" s="7">
        <f t="shared" si="0"/>
        <v>2</v>
      </c>
      <c r="K11" s="8">
        <f t="shared" si="1"/>
        <v>1.7</v>
      </c>
      <c r="L11" s="7">
        <v>0</v>
      </c>
      <c r="M11" s="8">
        <f t="shared" si="2"/>
        <v>3.9</v>
      </c>
      <c r="N11" s="7"/>
      <c r="O11" s="23">
        <v>1</v>
      </c>
    </row>
    <row r="12" spans="1:15" x14ac:dyDescent="0.3">
      <c r="D12">
        <f>SUM(D4:D11)/2</f>
        <v>45</v>
      </c>
      <c r="H12">
        <f>SUM(H4:H11)</f>
        <v>231</v>
      </c>
      <c r="I12">
        <f>SUM(I4:I11)</f>
        <v>231</v>
      </c>
    </row>
    <row r="13" spans="1:15" x14ac:dyDescent="0.3">
      <c r="H13">
        <f>H12/D12</f>
        <v>5.1333333333333337</v>
      </c>
    </row>
    <row r="15" spans="1:15" ht="23.4" x14ac:dyDescent="0.45">
      <c r="D15" s="2" t="s">
        <v>47</v>
      </c>
    </row>
    <row r="17" spans="1:15" x14ac:dyDescent="0.3">
      <c r="A17" s="3" t="s">
        <v>0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4" t="s">
        <v>6</v>
      </c>
      <c r="H17" s="5" t="s">
        <v>7</v>
      </c>
      <c r="I17" s="5" t="s">
        <v>8</v>
      </c>
      <c r="J17" s="4" t="s">
        <v>9</v>
      </c>
      <c r="K17" s="4" t="s">
        <v>10</v>
      </c>
      <c r="L17" s="4" t="s">
        <v>11</v>
      </c>
      <c r="M17" s="4" t="s">
        <v>12</v>
      </c>
      <c r="N17" s="5" t="s">
        <v>13</v>
      </c>
      <c r="O17" s="5" t="s">
        <v>14</v>
      </c>
    </row>
    <row r="18" spans="1:15" x14ac:dyDescent="0.3">
      <c r="A18" s="7">
        <v>1</v>
      </c>
      <c r="B18" s="7" t="s">
        <v>29</v>
      </c>
      <c r="C18" s="7" t="s">
        <v>27</v>
      </c>
      <c r="D18" s="7">
        <f>21+13</f>
        <v>34</v>
      </c>
      <c r="E18" s="7">
        <v>25</v>
      </c>
      <c r="F18" s="7">
        <v>3</v>
      </c>
      <c r="G18" s="7">
        <v>6</v>
      </c>
      <c r="H18" s="7">
        <f>39+81</f>
        <v>120</v>
      </c>
      <c r="I18" s="7">
        <v>80</v>
      </c>
      <c r="J18" s="7">
        <f t="shared" ref="J18:J23" si="3">2*E18+F18</f>
        <v>53</v>
      </c>
      <c r="K18" s="8">
        <f t="shared" ref="K18:K23" si="4">H18/D18</f>
        <v>3.5294117647058822</v>
      </c>
      <c r="L18" s="7">
        <v>1</v>
      </c>
      <c r="M18" s="8">
        <f t="shared" ref="M18:M23" si="5">I18/D18</f>
        <v>2.3529411764705883</v>
      </c>
      <c r="N18" s="13">
        <f>4/3</f>
        <v>1.3333333333333333</v>
      </c>
      <c r="O18" s="23">
        <v>31</v>
      </c>
    </row>
    <row r="19" spans="1:15" x14ac:dyDescent="0.3">
      <c r="A19" s="7">
        <v>2</v>
      </c>
      <c r="B19" s="7" t="s">
        <v>20</v>
      </c>
      <c r="C19" s="7" t="s">
        <v>15</v>
      </c>
      <c r="D19" s="7">
        <v>50</v>
      </c>
      <c r="E19" s="7">
        <v>29</v>
      </c>
      <c r="F19" s="7">
        <v>4</v>
      </c>
      <c r="G19" s="7">
        <v>17</v>
      </c>
      <c r="H19" s="7">
        <f>33+135</f>
        <v>168</v>
      </c>
      <c r="I19" s="7">
        <f>91+32</f>
        <v>123</v>
      </c>
      <c r="J19" s="7">
        <f t="shared" si="3"/>
        <v>62</v>
      </c>
      <c r="K19" s="8">
        <f t="shared" si="4"/>
        <v>3.36</v>
      </c>
      <c r="L19" s="7">
        <v>4</v>
      </c>
      <c r="M19" s="8">
        <f t="shared" si="5"/>
        <v>2.46</v>
      </c>
      <c r="N19" s="13">
        <f>11/5</f>
        <v>2.2000000000000002</v>
      </c>
      <c r="O19" s="23">
        <v>31</v>
      </c>
    </row>
    <row r="20" spans="1:15" x14ac:dyDescent="0.3">
      <c r="A20" s="7">
        <v>3</v>
      </c>
      <c r="B20" s="7" t="s">
        <v>26</v>
      </c>
      <c r="C20" s="7" t="s">
        <v>22</v>
      </c>
      <c r="D20" s="7">
        <v>38</v>
      </c>
      <c r="E20" s="7">
        <v>21</v>
      </c>
      <c r="F20" s="7">
        <v>3</v>
      </c>
      <c r="G20" s="7">
        <v>14</v>
      </c>
      <c r="H20" s="7">
        <f>84+27</f>
        <v>111</v>
      </c>
      <c r="I20" s="7">
        <f>64+20</f>
        <v>84</v>
      </c>
      <c r="J20" s="7">
        <f t="shared" si="3"/>
        <v>45</v>
      </c>
      <c r="K20" s="8">
        <f t="shared" si="4"/>
        <v>2.9210526315789473</v>
      </c>
      <c r="L20" s="7">
        <v>5</v>
      </c>
      <c r="M20" s="8">
        <f t="shared" si="5"/>
        <v>2.2105263157894739</v>
      </c>
      <c r="N20" s="13">
        <f>8/4</f>
        <v>2</v>
      </c>
      <c r="O20" s="23">
        <v>28</v>
      </c>
    </row>
    <row r="21" spans="1:15" x14ac:dyDescent="0.3">
      <c r="A21" s="7">
        <v>4</v>
      </c>
      <c r="B21" s="7" t="s">
        <v>37</v>
      </c>
      <c r="C21" s="7" t="s">
        <v>16</v>
      </c>
      <c r="D21" s="7">
        <f>23</f>
        <v>23</v>
      </c>
      <c r="E21" s="22">
        <v>18</v>
      </c>
      <c r="F21" s="22">
        <v>2</v>
      </c>
      <c r="G21" s="22">
        <v>3</v>
      </c>
      <c r="H21" s="7">
        <f>44+36</f>
        <v>80</v>
      </c>
      <c r="I21" s="7">
        <f>19+21</f>
        <v>40</v>
      </c>
      <c r="J21" s="7">
        <f t="shared" si="3"/>
        <v>38</v>
      </c>
      <c r="K21" s="8">
        <f t="shared" si="4"/>
        <v>3.4782608695652173</v>
      </c>
      <c r="L21" s="22">
        <v>2</v>
      </c>
      <c r="M21" s="8">
        <f t="shared" si="5"/>
        <v>1.7391304347826086</v>
      </c>
      <c r="N21" s="13">
        <f>3/2</f>
        <v>1.5</v>
      </c>
      <c r="O21" s="23">
        <v>20</v>
      </c>
    </row>
    <row r="22" spans="1:15" x14ac:dyDescent="0.3">
      <c r="A22" s="7">
        <v>5</v>
      </c>
      <c r="B22" s="7" t="s">
        <v>29</v>
      </c>
      <c r="C22" s="7" t="s">
        <v>15</v>
      </c>
      <c r="D22" s="7">
        <v>51</v>
      </c>
      <c r="E22" s="7">
        <v>21</v>
      </c>
      <c r="F22" s="7">
        <v>10</v>
      </c>
      <c r="G22" s="7">
        <v>20</v>
      </c>
      <c r="H22" s="7">
        <f>28+88</f>
        <v>116</v>
      </c>
      <c r="I22" s="7">
        <f>93+24</f>
        <v>117</v>
      </c>
      <c r="J22" s="7">
        <f t="shared" si="3"/>
        <v>52</v>
      </c>
      <c r="K22" s="8">
        <f t="shared" si="4"/>
        <v>2.2745098039215685</v>
      </c>
      <c r="L22" s="7">
        <v>6</v>
      </c>
      <c r="M22" s="8">
        <f t="shared" si="5"/>
        <v>2.2941176470588234</v>
      </c>
      <c r="N22" s="13">
        <f>23/6</f>
        <v>3.8333333333333335</v>
      </c>
      <c r="O22" s="23">
        <v>20</v>
      </c>
    </row>
    <row r="23" spans="1:15" x14ac:dyDescent="0.3">
      <c r="A23" s="7">
        <v>6</v>
      </c>
      <c r="B23" s="7" t="s">
        <v>19</v>
      </c>
      <c r="C23" s="7" t="s">
        <v>16</v>
      </c>
      <c r="D23" s="7">
        <v>56</v>
      </c>
      <c r="E23" s="7">
        <v>12</v>
      </c>
      <c r="F23" s="7">
        <v>6</v>
      </c>
      <c r="G23" s="7">
        <v>38</v>
      </c>
      <c r="H23" s="7">
        <f>25+80</f>
        <v>105</v>
      </c>
      <c r="I23" s="7">
        <f>134+23</f>
        <v>157</v>
      </c>
      <c r="J23" s="7">
        <f t="shared" si="3"/>
        <v>30</v>
      </c>
      <c r="K23" s="8">
        <f t="shared" si="4"/>
        <v>1.875</v>
      </c>
      <c r="L23" s="7">
        <v>6</v>
      </c>
      <c r="M23" s="8">
        <f t="shared" si="5"/>
        <v>2.8035714285714284</v>
      </c>
      <c r="N23" s="13">
        <f>33/7</f>
        <v>4.7142857142857144</v>
      </c>
      <c r="O23" s="23">
        <v>14</v>
      </c>
    </row>
    <row r="24" spans="1:15" x14ac:dyDescent="0.3">
      <c r="A24" s="7">
        <v>7</v>
      </c>
      <c r="B24" s="7" t="s">
        <v>25</v>
      </c>
      <c r="C24" s="7" t="s">
        <v>23</v>
      </c>
      <c r="D24" s="22">
        <v>39</v>
      </c>
      <c r="E24" s="22">
        <v>12</v>
      </c>
      <c r="F24" s="22">
        <v>7</v>
      </c>
      <c r="G24" s="22">
        <v>20</v>
      </c>
      <c r="H24" s="7">
        <f>18+51</f>
        <v>69</v>
      </c>
      <c r="I24" s="7">
        <f>80+33</f>
        <v>113</v>
      </c>
      <c r="J24" s="7">
        <f t="shared" ref="J24" si="6">2*E24+F24</f>
        <v>31</v>
      </c>
      <c r="K24" s="8">
        <f t="shared" ref="K24" si="7">H24/D24</f>
        <v>1.7692307692307692</v>
      </c>
      <c r="L24" s="22">
        <v>5</v>
      </c>
      <c r="M24" s="8">
        <f t="shared" ref="M24" si="8">I24/D24</f>
        <v>2.8974358974358974</v>
      </c>
      <c r="N24" s="13">
        <f>21/4</f>
        <v>5.25</v>
      </c>
      <c r="O24" s="23">
        <v>11</v>
      </c>
    </row>
    <row r="25" spans="1:15" x14ac:dyDescent="0.3">
      <c r="A25" s="7">
        <v>8</v>
      </c>
      <c r="B25" s="7" t="s">
        <v>17</v>
      </c>
      <c r="C25" s="7" t="s">
        <v>18</v>
      </c>
      <c r="D25" s="7">
        <v>30</v>
      </c>
      <c r="E25" s="7">
        <v>13</v>
      </c>
      <c r="F25" s="7">
        <v>3</v>
      </c>
      <c r="G25" s="7">
        <v>14</v>
      </c>
      <c r="H25" s="7">
        <f>44+17</f>
        <v>61</v>
      </c>
      <c r="I25" s="7">
        <f>46+24</f>
        <v>70</v>
      </c>
      <c r="J25" s="7">
        <f>2*E25+F25</f>
        <v>29</v>
      </c>
      <c r="K25" s="8">
        <f>H25/D25</f>
        <v>2.0333333333333332</v>
      </c>
      <c r="L25" s="7">
        <v>5</v>
      </c>
      <c r="M25" s="8">
        <f>I25/D25</f>
        <v>2.3333333333333335</v>
      </c>
      <c r="N25" s="13">
        <f>13/4</f>
        <v>3.25</v>
      </c>
      <c r="O25" s="23">
        <v>10</v>
      </c>
    </row>
    <row r="26" spans="1:15" x14ac:dyDescent="0.3">
      <c r="A26" s="7">
        <v>9</v>
      </c>
      <c r="B26" s="22" t="s">
        <v>45</v>
      </c>
      <c r="C26" s="22" t="s">
        <v>46</v>
      </c>
      <c r="D26" s="7">
        <v>12</v>
      </c>
      <c r="E26" s="7">
        <v>5</v>
      </c>
      <c r="F26" s="7">
        <v>1</v>
      </c>
      <c r="G26" s="7">
        <v>6</v>
      </c>
      <c r="H26" s="7">
        <f>12+8+7</f>
        <v>27</v>
      </c>
      <c r="I26" s="7">
        <f>15+10+4</f>
        <v>29</v>
      </c>
      <c r="J26" s="7">
        <f>2*E26+F26</f>
        <v>11</v>
      </c>
      <c r="K26" s="8">
        <f t="shared" ref="K26" si="9">H26/D26</f>
        <v>2.25</v>
      </c>
      <c r="L26" s="7">
        <v>2</v>
      </c>
      <c r="M26" s="8">
        <f>I26/D26</f>
        <v>2.4166666666666665</v>
      </c>
      <c r="N26" s="13">
        <f>3/1</f>
        <v>3</v>
      </c>
      <c r="O26" s="23">
        <v>7</v>
      </c>
    </row>
    <row r="27" spans="1:15" x14ac:dyDescent="0.3">
      <c r="A27" s="7">
        <v>10</v>
      </c>
      <c r="B27" s="7" t="s">
        <v>28</v>
      </c>
      <c r="C27" s="7" t="s">
        <v>30</v>
      </c>
      <c r="D27" s="7">
        <v>11</v>
      </c>
      <c r="E27" s="7">
        <f>3</f>
        <v>3</v>
      </c>
      <c r="F27" s="7">
        <v>3</v>
      </c>
      <c r="G27" s="7">
        <v>5</v>
      </c>
      <c r="H27" s="7">
        <f>21+3+13</f>
        <v>37</v>
      </c>
      <c r="I27" s="7">
        <f>13+8+15</f>
        <v>36</v>
      </c>
      <c r="J27" s="7">
        <f>2*E27+F27</f>
        <v>9</v>
      </c>
      <c r="K27" s="8">
        <f>H27/D27</f>
        <v>3.3636363636363638</v>
      </c>
      <c r="L27" s="7">
        <v>0</v>
      </c>
      <c r="M27" s="8">
        <f>I27/D27</f>
        <v>3.2727272727272729</v>
      </c>
      <c r="N27" s="13">
        <f>4/1</f>
        <v>4</v>
      </c>
      <c r="O27" s="23">
        <v>4</v>
      </c>
    </row>
    <row r="28" spans="1:15" x14ac:dyDescent="0.3">
      <c r="A28" s="7">
        <v>11</v>
      </c>
      <c r="B28" s="7" t="s">
        <v>24</v>
      </c>
      <c r="C28" s="7" t="s">
        <v>23</v>
      </c>
      <c r="D28" s="22">
        <v>28</v>
      </c>
      <c r="E28" s="22">
        <v>2</v>
      </c>
      <c r="F28" s="22">
        <v>5</v>
      </c>
      <c r="G28" s="22">
        <v>21</v>
      </c>
      <c r="H28" s="7">
        <f>17+32</f>
        <v>49</v>
      </c>
      <c r="I28" s="7">
        <f>55+39</f>
        <v>94</v>
      </c>
      <c r="J28" s="7">
        <f>2*E28+F28</f>
        <v>9</v>
      </c>
      <c r="K28" s="8">
        <f>H28/D28</f>
        <v>1.75</v>
      </c>
      <c r="L28" s="22">
        <v>0</v>
      </c>
      <c r="M28" s="8">
        <f>I28/D28</f>
        <v>3.3571428571428572</v>
      </c>
      <c r="N28" s="13">
        <f>21/3</f>
        <v>7</v>
      </c>
      <c r="O28" s="23">
        <v>3</v>
      </c>
    </row>
    <row r="29" spans="1:15" x14ac:dyDescent="0.3">
      <c r="D29">
        <f>SUM(D18:D28)/2</f>
        <v>186</v>
      </c>
      <c r="H29">
        <f>SUM(H18:H28)</f>
        <v>943</v>
      </c>
      <c r="I29">
        <f>SUM(I18:I28)</f>
        <v>943</v>
      </c>
    </row>
    <row r="30" spans="1:15" x14ac:dyDescent="0.3">
      <c r="H30">
        <f>H29/D29</f>
        <v>5.06989247311828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19"/>
  <sheetViews>
    <sheetView workbookViewId="0">
      <selection activeCell="A4" sqref="A4:O19"/>
    </sheetView>
  </sheetViews>
  <sheetFormatPr defaultRowHeight="14.4" x14ac:dyDescent="0.3"/>
  <sheetData>
    <row r="2" spans="1:15" x14ac:dyDescent="0.3">
      <c r="A2" s="24" t="s">
        <v>49</v>
      </c>
      <c r="B2" s="24"/>
      <c r="C2" s="24"/>
      <c r="D2" s="24"/>
      <c r="E2" s="24"/>
    </row>
    <row r="4" spans="1:15" ht="23.4" x14ac:dyDescent="0.45">
      <c r="D4" s="2" t="s">
        <v>48</v>
      </c>
    </row>
    <row r="6" spans="1:15" x14ac:dyDescent="0.3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5" t="s">
        <v>7</v>
      </c>
      <c r="I6" s="5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5" t="s">
        <v>13</v>
      </c>
      <c r="O6" s="5" t="s">
        <v>14</v>
      </c>
    </row>
    <row r="7" spans="1:15" x14ac:dyDescent="0.3">
      <c r="A7" s="7">
        <v>1</v>
      </c>
      <c r="B7" s="7" t="s">
        <v>29</v>
      </c>
      <c r="C7" s="7" t="s">
        <v>27</v>
      </c>
      <c r="D7" s="7">
        <f>21+13</f>
        <v>34</v>
      </c>
      <c r="E7" s="7">
        <v>25</v>
      </c>
      <c r="F7" s="7">
        <v>3</v>
      </c>
      <c r="G7" s="7">
        <v>6</v>
      </c>
      <c r="H7" s="7">
        <f>39+81</f>
        <v>120</v>
      </c>
      <c r="I7" s="7">
        <v>80</v>
      </c>
      <c r="J7" s="7">
        <f t="shared" ref="J7:J13" si="0">2*E7+F7</f>
        <v>53</v>
      </c>
      <c r="K7" s="8">
        <f t="shared" ref="K7:K13" si="1">H7/D7</f>
        <v>3.5294117647058822</v>
      </c>
      <c r="L7" s="7">
        <v>1</v>
      </c>
      <c r="M7" s="8">
        <f t="shared" ref="M7:M13" si="2">I7/D7</f>
        <v>2.3529411764705883</v>
      </c>
      <c r="N7" s="13">
        <f>4/3</f>
        <v>1.3333333333333333</v>
      </c>
      <c r="O7" s="23">
        <v>31</v>
      </c>
    </row>
    <row r="8" spans="1:15" x14ac:dyDescent="0.3">
      <c r="A8" s="7">
        <v>2</v>
      </c>
      <c r="B8" s="7" t="s">
        <v>20</v>
      </c>
      <c r="C8" s="7" t="s">
        <v>15</v>
      </c>
      <c r="D8" s="7">
        <v>50</v>
      </c>
      <c r="E8" s="7">
        <v>29</v>
      </c>
      <c r="F8" s="7">
        <v>4</v>
      </c>
      <c r="G8" s="7">
        <v>17</v>
      </c>
      <c r="H8" s="7">
        <f>33+135</f>
        <v>168</v>
      </c>
      <c r="I8" s="7">
        <f>91+32</f>
        <v>123</v>
      </c>
      <c r="J8" s="7">
        <f t="shared" si="0"/>
        <v>62</v>
      </c>
      <c r="K8" s="8">
        <f t="shared" si="1"/>
        <v>3.36</v>
      </c>
      <c r="L8" s="7">
        <v>4</v>
      </c>
      <c r="M8" s="8">
        <f t="shared" si="2"/>
        <v>2.46</v>
      </c>
      <c r="N8" s="13">
        <f>11/5</f>
        <v>2.2000000000000002</v>
      </c>
      <c r="O8" s="23">
        <v>31</v>
      </c>
    </row>
    <row r="9" spans="1:15" x14ac:dyDescent="0.3">
      <c r="A9" s="7">
        <v>3</v>
      </c>
      <c r="B9" s="7" t="s">
        <v>26</v>
      </c>
      <c r="C9" s="7" t="s">
        <v>22</v>
      </c>
      <c r="D9" s="7">
        <v>38</v>
      </c>
      <c r="E9" s="7">
        <v>21</v>
      </c>
      <c r="F9" s="7">
        <v>3</v>
      </c>
      <c r="G9" s="7">
        <v>14</v>
      </c>
      <c r="H9" s="7">
        <f>84+27</f>
        <v>111</v>
      </c>
      <c r="I9" s="7">
        <f>64+20</f>
        <v>84</v>
      </c>
      <c r="J9" s="7">
        <f t="shared" si="0"/>
        <v>45</v>
      </c>
      <c r="K9" s="8">
        <f t="shared" si="1"/>
        <v>2.9210526315789473</v>
      </c>
      <c r="L9" s="7">
        <v>5</v>
      </c>
      <c r="M9" s="8">
        <f t="shared" si="2"/>
        <v>2.2105263157894739</v>
      </c>
      <c r="N9" s="13">
        <f>8/4</f>
        <v>2</v>
      </c>
      <c r="O9" s="23">
        <v>28</v>
      </c>
    </row>
    <row r="10" spans="1:15" x14ac:dyDescent="0.3">
      <c r="A10" s="7">
        <v>4</v>
      </c>
      <c r="B10" s="7" t="s">
        <v>37</v>
      </c>
      <c r="C10" s="7" t="s">
        <v>16</v>
      </c>
      <c r="D10" s="7">
        <f>23</f>
        <v>23</v>
      </c>
      <c r="E10" s="22">
        <v>18</v>
      </c>
      <c r="F10" s="22">
        <v>2</v>
      </c>
      <c r="G10" s="22">
        <v>3</v>
      </c>
      <c r="H10" s="7">
        <f>44+36</f>
        <v>80</v>
      </c>
      <c r="I10" s="7">
        <f>19+21</f>
        <v>40</v>
      </c>
      <c r="J10" s="7">
        <f t="shared" si="0"/>
        <v>38</v>
      </c>
      <c r="K10" s="8">
        <f t="shared" si="1"/>
        <v>3.4782608695652173</v>
      </c>
      <c r="L10" s="22">
        <v>2</v>
      </c>
      <c r="M10" s="8">
        <f t="shared" si="2"/>
        <v>1.7391304347826086</v>
      </c>
      <c r="N10" s="13">
        <f>3/2</f>
        <v>1.5</v>
      </c>
      <c r="O10" s="23">
        <v>20</v>
      </c>
    </row>
    <row r="11" spans="1:15" x14ac:dyDescent="0.3">
      <c r="A11" s="7">
        <v>5</v>
      </c>
      <c r="B11" s="7" t="s">
        <v>29</v>
      </c>
      <c r="C11" s="7" t="s">
        <v>15</v>
      </c>
      <c r="D11" s="7">
        <v>51</v>
      </c>
      <c r="E11" s="7">
        <v>21</v>
      </c>
      <c r="F11" s="7">
        <v>10</v>
      </c>
      <c r="G11" s="7">
        <v>20</v>
      </c>
      <c r="H11" s="7">
        <f>28+88</f>
        <v>116</v>
      </c>
      <c r="I11" s="7">
        <f>93+24</f>
        <v>117</v>
      </c>
      <c r="J11" s="7">
        <f t="shared" si="0"/>
        <v>52</v>
      </c>
      <c r="K11" s="8">
        <f t="shared" si="1"/>
        <v>2.2745098039215685</v>
      </c>
      <c r="L11" s="7">
        <v>6</v>
      </c>
      <c r="M11" s="8">
        <f t="shared" si="2"/>
        <v>2.2941176470588234</v>
      </c>
      <c r="N11" s="13">
        <f>23/6</f>
        <v>3.8333333333333335</v>
      </c>
      <c r="O11" s="23">
        <v>20</v>
      </c>
    </row>
    <row r="12" spans="1:15" x14ac:dyDescent="0.3">
      <c r="A12" s="7">
        <v>6</v>
      </c>
      <c r="B12" s="7" t="s">
        <v>19</v>
      </c>
      <c r="C12" s="7" t="s">
        <v>16</v>
      </c>
      <c r="D12" s="7">
        <v>56</v>
      </c>
      <c r="E12" s="7">
        <v>12</v>
      </c>
      <c r="F12" s="7">
        <v>6</v>
      </c>
      <c r="G12" s="7">
        <v>38</v>
      </c>
      <c r="H12" s="7">
        <f>25+80</f>
        <v>105</v>
      </c>
      <c r="I12" s="7">
        <f>134+23</f>
        <v>157</v>
      </c>
      <c r="J12" s="7">
        <f t="shared" si="0"/>
        <v>30</v>
      </c>
      <c r="K12" s="8">
        <f t="shared" si="1"/>
        <v>1.875</v>
      </c>
      <c r="L12" s="7">
        <v>6</v>
      </c>
      <c r="M12" s="8">
        <f t="shared" si="2"/>
        <v>2.8035714285714284</v>
      </c>
      <c r="N12" s="13">
        <f>33/7</f>
        <v>4.7142857142857144</v>
      </c>
      <c r="O12" s="23">
        <v>14</v>
      </c>
    </row>
    <row r="13" spans="1:15" x14ac:dyDescent="0.3">
      <c r="A13" s="7">
        <v>7</v>
      </c>
      <c r="B13" s="7" t="s">
        <v>25</v>
      </c>
      <c r="C13" s="7" t="s">
        <v>23</v>
      </c>
      <c r="D13" s="22">
        <v>39</v>
      </c>
      <c r="E13" s="22">
        <v>12</v>
      </c>
      <c r="F13" s="22">
        <v>7</v>
      </c>
      <c r="G13" s="22">
        <v>20</v>
      </c>
      <c r="H13" s="7">
        <f>18+51</f>
        <v>69</v>
      </c>
      <c r="I13" s="7">
        <f>80+33</f>
        <v>113</v>
      </c>
      <c r="J13" s="7">
        <f t="shared" si="0"/>
        <v>31</v>
      </c>
      <c r="K13" s="8">
        <f t="shared" si="1"/>
        <v>1.7692307692307692</v>
      </c>
      <c r="L13" s="22">
        <v>5</v>
      </c>
      <c r="M13" s="8">
        <f t="shared" si="2"/>
        <v>2.8974358974358974</v>
      </c>
      <c r="N13" s="13">
        <f>21/4</f>
        <v>5.25</v>
      </c>
      <c r="O13" s="23">
        <v>11</v>
      </c>
    </row>
    <row r="14" spans="1:15" x14ac:dyDescent="0.3">
      <c r="A14" s="7">
        <v>8</v>
      </c>
      <c r="B14" s="7" t="s">
        <v>17</v>
      </c>
      <c r="C14" s="7" t="s">
        <v>18</v>
      </c>
      <c r="D14" s="7">
        <v>30</v>
      </c>
      <c r="E14" s="7">
        <v>13</v>
      </c>
      <c r="F14" s="7">
        <v>3</v>
      </c>
      <c r="G14" s="7">
        <v>14</v>
      </c>
      <c r="H14" s="7">
        <f>44+17</f>
        <v>61</v>
      </c>
      <c r="I14" s="7">
        <f>46+24</f>
        <v>70</v>
      </c>
      <c r="J14" s="7">
        <f>2*E14+F14</f>
        <v>29</v>
      </c>
      <c r="K14" s="8">
        <f>H14/D14</f>
        <v>2.0333333333333332</v>
      </c>
      <c r="L14" s="7">
        <v>5</v>
      </c>
      <c r="M14" s="8">
        <f>I14/D14</f>
        <v>2.3333333333333335</v>
      </c>
      <c r="N14" s="13">
        <f>13/4</f>
        <v>3.25</v>
      </c>
      <c r="O14" s="23">
        <v>10</v>
      </c>
    </row>
    <row r="15" spans="1:15" x14ac:dyDescent="0.3">
      <c r="A15" s="7">
        <v>9</v>
      </c>
      <c r="B15" s="22" t="s">
        <v>45</v>
      </c>
      <c r="C15" s="22" t="s">
        <v>46</v>
      </c>
      <c r="D15" s="7">
        <v>12</v>
      </c>
      <c r="E15" s="7">
        <v>5</v>
      </c>
      <c r="F15" s="7">
        <v>1</v>
      </c>
      <c r="G15" s="7">
        <v>6</v>
      </c>
      <c r="H15" s="7">
        <f>12+8+7</f>
        <v>27</v>
      </c>
      <c r="I15" s="7">
        <f>15+10+4</f>
        <v>29</v>
      </c>
      <c r="J15" s="7">
        <f>2*E15+F15</f>
        <v>11</v>
      </c>
      <c r="K15" s="8">
        <f t="shared" ref="K15" si="3">H15/D15</f>
        <v>2.25</v>
      </c>
      <c r="L15" s="7">
        <v>2</v>
      </c>
      <c r="M15" s="8">
        <f>I15/D15</f>
        <v>2.4166666666666665</v>
      </c>
      <c r="N15" s="13">
        <f>3/1</f>
        <v>3</v>
      </c>
      <c r="O15" s="23">
        <v>7</v>
      </c>
    </row>
    <row r="16" spans="1:15" x14ac:dyDescent="0.3">
      <c r="A16" s="7">
        <v>10</v>
      </c>
      <c r="B16" s="7" t="s">
        <v>28</v>
      </c>
      <c r="C16" s="7" t="s">
        <v>30</v>
      </c>
      <c r="D16" s="7">
        <v>11</v>
      </c>
      <c r="E16" s="7">
        <f>3</f>
        <v>3</v>
      </c>
      <c r="F16" s="7">
        <v>3</v>
      </c>
      <c r="G16" s="7">
        <v>5</v>
      </c>
      <c r="H16" s="7">
        <f>21+3+13</f>
        <v>37</v>
      </c>
      <c r="I16" s="7">
        <f>13+8+15</f>
        <v>36</v>
      </c>
      <c r="J16" s="7">
        <f>2*E16+F16</f>
        <v>9</v>
      </c>
      <c r="K16" s="8">
        <f>H16/D16</f>
        <v>3.3636363636363638</v>
      </c>
      <c r="L16" s="7">
        <v>0</v>
      </c>
      <c r="M16" s="8">
        <f>I16/D16</f>
        <v>3.2727272727272729</v>
      </c>
      <c r="N16" s="13">
        <f>4/1</f>
        <v>4</v>
      </c>
      <c r="O16" s="23">
        <v>4</v>
      </c>
    </row>
    <row r="17" spans="1:15" x14ac:dyDescent="0.3">
      <c r="A17" s="7">
        <v>11</v>
      </c>
      <c r="B17" s="7" t="s">
        <v>24</v>
      </c>
      <c r="C17" s="7" t="s">
        <v>23</v>
      </c>
      <c r="D17" s="22">
        <v>28</v>
      </c>
      <c r="E17" s="22">
        <v>2</v>
      </c>
      <c r="F17" s="22">
        <v>5</v>
      </c>
      <c r="G17" s="22">
        <v>21</v>
      </c>
      <c r="H17" s="7">
        <f>17+32</f>
        <v>49</v>
      </c>
      <c r="I17" s="7">
        <f>55+39</f>
        <v>94</v>
      </c>
      <c r="J17" s="7">
        <f>2*E17+F17</f>
        <v>9</v>
      </c>
      <c r="K17" s="8">
        <f>H17/D17</f>
        <v>1.75</v>
      </c>
      <c r="L17" s="22">
        <v>0</v>
      </c>
      <c r="M17" s="8">
        <f>I17/D17</f>
        <v>3.3571428571428572</v>
      </c>
      <c r="N17" s="13">
        <f>21/3</f>
        <v>7</v>
      </c>
      <c r="O17" s="23">
        <v>3</v>
      </c>
    </row>
    <row r="18" spans="1:15" x14ac:dyDescent="0.3">
      <c r="D18">
        <f>SUM(D7:D17)/2</f>
        <v>186</v>
      </c>
      <c r="H18">
        <f>SUM(H7:H17)</f>
        <v>943</v>
      </c>
      <c r="I18">
        <f>SUM(I7:I17)</f>
        <v>943</v>
      </c>
    </row>
    <row r="19" spans="1:15" x14ac:dyDescent="0.3">
      <c r="H19">
        <f>H18/D18</f>
        <v>5.06989247311828</v>
      </c>
    </row>
  </sheetData>
  <mergeCells count="1">
    <mergeCell ref="A2:E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8"/>
  <sheetViews>
    <sheetView workbookViewId="0">
      <selection activeCell="G18" sqref="G18"/>
    </sheetView>
  </sheetViews>
  <sheetFormatPr defaultRowHeight="14.4" x14ac:dyDescent="0.3"/>
  <sheetData>
    <row r="1" spans="1:15" ht="23.4" x14ac:dyDescent="0.45">
      <c r="D1" s="2" t="s">
        <v>50</v>
      </c>
    </row>
    <row r="2" spans="1:15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5" t="s">
        <v>14</v>
      </c>
    </row>
    <row r="3" spans="1:15" x14ac:dyDescent="0.3">
      <c r="A3" s="7">
        <v>1</v>
      </c>
      <c r="B3" s="7" t="s">
        <v>29</v>
      </c>
      <c r="C3" s="7" t="s">
        <v>27</v>
      </c>
      <c r="D3" s="7">
        <v>11</v>
      </c>
      <c r="E3" s="7">
        <v>8</v>
      </c>
      <c r="F3" s="7">
        <v>1</v>
      </c>
      <c r="G3" s="7">
        <v>2</v>
      </c>
      <c r="H3" s="7">
        <f>22+6+7</f>
        <v>35</v>
      </c>
      <c r="I3" s="7">
        <f>15+3+9</f>
        <v>27</v>
      </c>
      <c r="J3" s="7">
        <f>2*E3+F3</f>
        <v>17</v>
      </c>
      <c r="K3" s="8">
        <f>H3/D3</f>
        <v>3.1818181818181817</v>
      </c>
      <c r="L3" s="7">
        <v>1</v>
      </c>
      <c r="M3" s="8">
        <f>I3/D3</f>
        <v>2.4545454545454546</v>
      </c>
      <c r="N3" s="7"/>
      <c r="O3" s="9">
        <v>11</v>
      </c>
    </row>
    <row r="4" spans="1:15" x14ac:dyDescent="0.3">
      <c r="A4" s="7">
        <v>2</v>
      </c>
      <c r="B4" s="7" t="s">
        <v>37</v>
      </c>
      <c r="C4" s="7" t="s">
        <v>16</v>
      </c>
      <c r="D4" s="7">
        <v>12</v>
      </c>
      <c r="E4" s="7">
        <v>6</v>
      </c>
      <c r="F4" s="7">
        <v>1</v>
      </c>
      <c r="G4" s="7">
        <v>5</v>
      </c>
      <c r="H4" s="7">
        <f>15+11+9</f>
        <v>35</v>
      </c>
      <c r="I4" s="7">
        <f>9+5+7</f>
        <v>21</v>
      </c>
      <c r="J4" s="7">
        <f t="shared" ref="J4:J9" si="0">2*E4+F4</f>
        <v>13</v>
      </c>
      <c r="K4" s="8">
        <f t="shared" ref="K4:K9" si="1">H4/D4</f>
        <v>2.9166666666666665</v>
      </c>
      <c r="L4" s="7">
        <v>2</v>
      </c>
      <c r="M4" s="8">
        <f t="shared" ref="M4:M9" si="2">I4/D4</f>
        <v>1.75</v>
      </c>
      <c r="N4" s="7"/>
      <c r="O4" s="9">
        <v>8</v>
      </c>
    </row>
    <row r="5" spans="1:15" x14ac:dyDescent="0.3">
      <c r="A5" s="7">
        <v>3</v>
      </c>
      <c r="B5" s="7" t="s">
        <v>26</v>
      </c>
      <c r="C5" s="7" t="s">
        <v>22</v>
      </c>
      <c r="D5" s="7">
        <v>10</v>
      </c>
      <c r="E5" s="7">
        <v>4</v>
      </c>
      <c r="F5" s="7">
        <v>2</v>
      </c>
      <c r="G5" s="7">
        <v>4</v>
      </c>
      <c r="H5" s="7">
        <f>16+11</f>
        <v>27</v>
      </c>
      <c r="I5" s="7">
        <f>17+8</f>
        <v>25</v>
      </c>
      <c r="J5" s="7">
        <f t="shared" si="0"/>
        <v>10</v>
      </c>
      <c r="K5" s="8">
        <f t="shared" si="1"/>
        <v>2.7</v>
      </c>
      <c r="L5" s="7">
        <v>0</v>
      </c>
      <c r="M5" s="8">
        <f t="shared" si="2"/>
        <v>2.5</v>
      </c>
      <c r="N5" s="7"/>
      <c r="O5" s="9">
        <v>6</v>
      </c>
    </row>
    <row r="6" spans="1:15" x14ac:dyDescent="0.3">
      <c r="A6" s="7">
        <v>4</v>
      </c>
      <c r="B6" s="7" t="s">
        <v>19</v>
      </c>
      <c r="C6" s="7" t="s">
        <v>16</v>
      </c>
      <c r="D6" s="7">
        <v>11</v>
      </c>
      <c r="E6" s="7">
        <v>4</v>
      </c>
      <c r="F6" s="7">
        <v>1</v>
      </c>
      <c r="G6" s="7">
        <v>6</v>
      </c>
      <c r="H6" s="7">
        <f>17+5+2</f>
        <v>24</v>
      </c>
      <c r="I6" s="7">
        <f>13+19</f>
        <v>32</v>
      </c>
      <c r="J6" s="7">
        <f t="shared" si="0"/>
        <v>9</v>
      </c>
      <c r="K6" s="8">
        <f t="shared" si="1"/>
        <v>2.1818181818181817</v>
      </c>
      <c r="L6" s="7">
        <v>0</v>
      </c>
      <c r="M6" s="8">
        <f t="shared" si="2"/>
        <v>2.9090909090909092</v>
      </c>
      <c r="N6" s="7"/>
      <c r="O6" s="11">
        <v>4</v>
      </c>
    </row>
    <row r="7" spans="1:15" x14ac:dyDescent="0.3">
      <c r="A7" s="7">
        <v>5</v>
      </c>
      <c r="B7" s="7" t="s">
        <v>29</v>
      </c>
      <c r="C7" s="7" t="s">
        <v>38</v>
      </c>
      <c r="D7" s="7">
        <v>10</v>
      </c>
      <c r="E7" s="7">
        <v>4</v>
      </c>
      <c r="F7" s="7">
        <v>2</v>
      </c>
      <c r="G7" s="7">
        <v>4</v>
      </c>
      <c r="H7" s="7">
        <f>10+9</f>
        <v>19</v>
      </c>
      <c r="I7" s="7">
        <f>14+7</f>
        <v>21</v>
      </c>
      <c r="J7" s="7">
        <f t="shared" si="0"/>
        <v>10</v>
      </c>
      <c r="K7" s="8">
        <f t="shared" si="1"/>
        <v>1.9</v>
      </c>
      <c r="L7" s="7">
        <v>1</v>
      </c>
      <c r="M7" s="8">
        <f t="shared" si="2"/>
        <v>2.1</v>
      </c>
      <c r="N7" s="7"/>
      <c r="O7" s="11">
        <v>3</v>
      </c>
    </row>
    <row r="8" spans="1:15" x14ac:dyDescent="0.3">
      <c r="A8" s="7">
        <v>6</v>
      </c>
      <c r="B8" s="7" t="s">
        <v>20</v>
      </c>
      <c r="C8" s="7" t="s">
        <v>38</v>
      </c>
      <c r="D8" s="7">
        <v>10</v>
      </c>
      <c r="E8" s="7">
        <v>5</v>
      </c>
      <c r="F8" s="7">
        <v>1</v>
      </c>
      <c r="G8" s="7">
        <v>4</v>
      </c>
      <c r="H8" s="7">
        <f>15+16</f>
        <v>31</v>
      </c>
      <c r="I8" s="7">
        <f>17+10</f>
        <v>27</v>
      </c>
      <c r="J8" s="7">
        <f t="shared" si="0"/>
        <v>11</v>
      </c>
      <c r="K8" s="8">
        <f t="shared" si="1"/>
        <v>3.1</v>
      </c>
      <c r="L8" s="7">
        <v>0</v>
      </c>
      <c r="M8" s="8">
        <f t="shared" si="2"/>
        <v>2.7</v>
      </c>
      <c r="N8" s="7"/>
      <c r="O8" s="11">
        <v>2</v>
      </c>
    </row>
    <row r="9" spans="1:15" x14ac:dyDescent="0.3">
      <c r="A9" s="7">
        <v>7</v>
      </c>
      <c r="B9" s="7" t="s">
        <v>24</v>
      </c>
      <c r="C9" s="7" t="s">
        <v>23</v>
      </c>
      <c r="D9" s="7">
        <v>10</v>
      </c>
      <c r="E9" s="7">
        <v>2</v>
      </c>
      <c r="F9" s="7">
        <v>0</v>
      </c>
      <c r="G9" s="7">
        <v>8</v>
      </c>
      <c r="H9" s="7">
        <f>14+7</f>
        <v>21</v>
      </c>
      <c r="I9" s="7">
        <f>24+15</f>
        <v>39</v>
      </c>
      <c r="J9" s="7">
        <f t="shared" si="0"/>
        <v>4</v>
      </c>
      <c r="K9" s="8">
        <f t="shared" si="1"/>
        <v>2.1</v>
      </c>
      <c r="L9" s="7">
        <v>0</v>
      </c>
      <c r="M9" s="8">
        <f t="shared" si="2"/>
        <v>3.9</v>
      </c>
      <c r="N9" s="7"/>
      <c r="O9" s="11">
        <v>1</v>
      </c>
    </row>
    <row r="10" spans="1:15" x14ac:dyDescent="0.3">
      <c r="D10">
        <f>SUM(D3:D9)/2</f>
        <v>37</v>
      </c>
      <c r="H10">
        <f>SUM(H3:H9)</f>
        <v>192</v>
      </c>
      <c r="I10">
        <f>SUM(I3:I9)</f>
        <v>192</v>
      </c>
    </row>
    <row r="11" spans="1:15" x14ac:dyDescent="0.3">
      <c r="H11" s="12">
        <f>H10/D10</f>
        <v>5.1891891891891895</v>
      </c>
    </row>
    <row r="13" spans="1:15" ht="23.4" x14ac:dyDescent="0.45">
      <c r="D13" s="2" t="s">
        <v>51</v>
      </c>
    </row>
    <row r="15" spans="1:15" x14ac:dyDescent="0.3">
      <c r="A15" s="3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5" t="s">
        <v>7</v>
      </c>
      <c r="I15" s="5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5" t="s">
        <v>13</v>
      </c>
      <c r="O15" s="5" t="s">
        <v>14</v>
      </c>
    </row>
    <row r="16" spans="1:15" x14ac:dyDescent="0.3">
      <c r="A16" s="7">
        <v>1</v>
      </c>
      <c r="B16" s="7" t="s">
        <v>29</v>
      </c>
      <c r="C16" s="7" t="s">
        <v>27</v>
      </c>
      <c r="D16" s="7">
        <v>45</v>
      </c>
      <c r="E16" s="7">
        <f>25+8</f>
        <v>33</v>
      </c>
      <c r="F16" s="7">
        <v>4</v>
      </c>
      <c r="G16" s="7">
        <v>8</v>
      </c>
      <c r="H16" s="7">
        <f>120+35</f>
        <v>155</v>
      </c>
      <c r="I16" s="7">
        <f>80+27</f>
        <v>107</v>
      </c>
      <c r="J16" s="7">
        <f t="shared" ref="J16:J22" si="3">2*E16+F16</f>
        <v>70</v>
      </c>
      <c r="K16" s="8">
        <f t="shared" ref="K16:K22" si="4">H16/D16</f>
        <v>3.4444444444444446</v>
      </c>
      <c r="L16" s="7">
        <v>2</v>
      </c>
      <c r="M16" s="8">
        <f t="shared" ref="M16:M22" si="5">I16/D16</f>
        <v>2.3777777777777778</v>
      </c>
      <c r="N16" s="13">
        <f>5/4</f>
        <v>1.25</v>
      </c>
      <c r="O16" s="23">
        <v>42</v>
      </c>
    </row>
    <row r="17" spans="1:15" x14ac:dyDescent="0.3">
      <c r="A17" s="7">
        <v>2</v>
      </c>
      <c r="B17" s="7" t="s">
        <v>26</v>
      </c>
      <c r="C17" s="7" t="s">
        <v>22</v>
      </c>
      <c r="D17" s="7">
        <v>48</v>
      </c>
      <c r="E17" s="7">
        <v>25</v>
      </c>
      <c r="F17" s="7">
        <v>5</v>
      </c>
      <c r="G17" s="7">
        <v>18</v>
      </c>
      <c r="H17" s="7">
        <f>111+27</f>
        <v>138</v>
      </c>
      <c r="I17" s="7">
        <f>84+25</f>
        <v>109</v>
      </c>
      <c r="J17" s="7">
        <f>2*E17+F17</f>
        <v>55</v>
      </c>
      <c r="K17" s="8">
        <f>H17/D17</f>
        <v>2.875</v>
      </c>
      <c r="L17" s="7">
        <v>5</v>
      </c>
      <c r="M17" s="8">
        <f>I17/D17</f>
        <v>2.2708333333333335</v>
      </c>
      <c r="N17" s="13">
        <f>11/5</f>
        <v>2.2000000000000002</v>
      </c>
      <c r="O17" s="23">
        <v>34</v>
      </c>
    </row>
    <row r="18" spans="1:15" x14ac:dyDescent="0.3">
      <c r="A18" s="7">
        <v>3</v>
      </c>
      <c r="B18" s="7" t="s">
        <v>20</v>
      </c>
      <c r="C18" s="7" t="s">
        <v>15</v>
      </c>
      <c r="D18" s="7">
        <v>60</v>
      </c>
      <c r="E18" s="7">
        <v>34</v>
      </c>
      <c r="F18" s="7">
        <v>5</v>
      </c>
      <c r="G18" s="7">
        <v>21</v>
      </c>
      <c r="H18" s="7">
        <f>168+31</f>
        <v>199</v>
      </c>
      <c r="I18" s="7">
        <f>123+27</f>
        <v>150</v>
      </c>
      <c r="J18" s="7">
        <f t="shared" si="3"/>
        <v>73</v>
      </c>
      <c r="K18" s="8">
        <f t="shared" si="4"/>
        <v>3.3166666666666669</v>
      </c>
      <c r="L18" s="7">
        <v>4</v>
      </c>
      <c r="M18" s="8">
        <f t="shared" si="5"/>
        <v>2.5</v>
      </c>
      <c r="N18" s="13">
        <f>17/6</f>
        <v>2.8333333333333335</v>
      </c>
      <c r="O18" s="23">
        <v>33</v>
      </c>
    </row>
    <row r="19" spans="1:15" x14ac:dyDescent="0.3">
      <c r="A19" s="7">
        <v>4</v>
      </c>
      <c r="B19" s="7" t="s">
        <v>37</v>
      </c>
      <c r="C19" s="7" t="s">
        <v>16</v>
      </c>
      <c r="D19" s="7">
        <v>35</v>
      </c>
      <c r="E19" s="22">
        <v>24</v>
      </c>
      <c r="F19" s="22">
        <v>3</v>
      </c>
      <c r="G19" s="22">
        <v>8</v>
      </c>
      <c r="H19" s="7">
        <v>115</v>
      </c>
      <c r="I19" s="7">
        <v>61</v>
      </c>
      <c r="J19" s="7">
        <f t="shared" si="3"/>
        <v>51</v>
      </c>
      <c r="K19" s="8">
        <f t="shared" si="4"/>
        <v>3.2857142857142856</v>
      </c>
      <c r="L19" s="22">
        <v>4</v>
      </c>
      <c r="M19" s="8">
        <f t="shared" si="5"/>
        <v>1.7428571428571429</v>
      </c>
      <c r="N19" s="13">
        <f>5/3</f>
        <v>1.6666666666666667</v>
      </c>
      <c r="O19" s="23">
        <v>28</v>
      </c>
    </row>
    <row r="20" spans="1:15" x14ac:dyDescent="0.3">
      <c r="A20" s="7">
        <v>5</v>
      </c>
      <c r="B20" s="7" t="s">
        <v>29</v>
      </c>
      <c r="C20" s="7" t="s">
        <v>15</v>
      </c>
      <c r="D20" s="7">
        <v>61</v>
      </c>
      <c r="E20" s="7">
        <v>25</v>
      </c>
      <c r="F20" s="7">
        <v>12</v>
      </c>
      <c r="G20" s="7">
        <v>24</v>
      </c>
      <c r="H20" s="7">
        <v>135</v>
      </c>
      <c r="I20" s="7">
        <v>138</v>
      </c>
      <c r="J20" s="7">
        <f t="shared" si="3"/>
        <v>62</v>
      </c>
      <c r="K20" s="8">
        <f t="shared" si="4"/>
        <v>2.2131147540983607</v>
      </c>
      <c r="L20" s="7">
        <v>7</v>
      </c>
      <c r="M20" s="8">
        <f t="shared" si="5"/>
        <v>2.262295081967213</v>
      </c>
      <c r="N20" s="13">
        <f>28/7</f>
        <v>4</v>
      </c>
      <c r="O20" s="23">
        <v>23</v>
      </c>
    </row>
    <row r="21" spans="1:15" x14ac:dyDescent="0.3">
      <c r="A21" s="7">
        <v>6</v>
      </c>
      <c r="B21" s="7" t="s">
        <v>19</v>
      </c>
      <c r="C21" s="7" t="s">
        <v>16</v>
      </c>
      <c r="D21" s="7">
        <v>67</v>
      </c>
      <c r="E21" s="7">
        <v>16</v>
      </c>
      <c r="F21" s="7">
        <v>7</v>
      </c>
      <c r="G21" s="7">
        <v>44</v>
      </c>
      <c r="H21" s="7">
        <v>129</v>
      </c>
      <c r="I21" s="7">
        <v>189</v>
      </c>
      <c r="J21" s="7">
        <f t="shared" si="3"/>
        <v>39</v>
      </c>
      <c r="K21" s="8">
        <f t="shared" si="4"/>
        <v>1.9253731343283582</v>
      </c>
      <c r="L21" s="7">
        <v>6</v>
      </c>
      <c r="M21" s="8">
        <f t="shared" si="5"/>
        <v>2.8208955223880596</v>
      </c>
      <c r="N21" s="13">
        <f>37/8</f>
        <v>4.625</v>
      </c>
      <c r="O21" s="23">
        <v>18</v>
      </c>
    </row>
    <row r="22" spans="1:15" x14ac:dyDescent="0.3">
      <c r="A22" s="7">
        <v>7</v>
      </c>
      <c r="B22" s="7" t="s">
        <v>25</v>
      </c>
      <c r="C22" s="7" t="s">
        <v>23</v>
      </c>
      <c r="D22" s="22">
        <v>39</v>
      </c>
      <c r="E22" s="22">
        <v>12</v>
      </c>
      <c r="F22" s="22">
        <v>7</v>
      </c>
      <c r="G22" s="22">
        <v>20</v>
      </c>
      <c r="H22" s="7">
        <f>18+51</f>
        <v>69</v>
      </c>
      <c r="I22" s="7">
        <f>80+33</f>
        <v>113</v>
      </c>
      <c r="J22" s="7">
        <f t="shared" si="3"/>
        <v>31</v>
      </c>
      <c r="K22" s="8">
        <f t="shared" si="4"/>
        <v>1.7692307692307692</v>
      </c>
      <c r="L22" s="22">
        <v>5</v>
      </c>
      <c r="M22" s="8">
        <f t="shared" si="5"/>
        <v>2.8974358974358974</v>
      </c>
      <c r="N22" s="13">
        <f>21/4</f>
        <v>5.25</v>
      </c>
      <c r="O22" s="23">
        <v>11</v>
      </c>
    </row>
    <row r="23" spans="1:15" x14ac:dyDescent="0.3">
      <c r="A23" s="7">
        <v>8</v>
      </c>
      <c r="B23" s="7" t="s">
        <v>17</v>
      </c>
      <c r="C23" s="7" t="s">
        <v>18</v>
      </c>
      <c r="D23" s="7">
        <v>30</v>
      </c>
      <c r="E23" s="7">
        <v>13</v>
      </c>
      <c r="F23" s="7">
        <v>3</v>
      </c>
      <c r="G23" s="7">
        <v>14</v>
      </c>
      <c r="H23" s="7">
        <f>44+17</f>
        <v>61</v>
      </c>
      <c r="I23" s="7">
        <f>46+24</f>
        <v>70</v>
      </c>
      <c r="J23" s="7">
        <f>2*E23+F23</f>
        <v>29</v>
      </c>
      <c r="K23" s="8">
        <f>H23/D23</f>
        <v>2.0333333333333332</v>
      </c>
      <c r="L23" s="7">
        <v>5</v>
      </c>
      <c r="M23" s="8">
        <f>I23/D23</f>
        <v>2.3333333333333335</v>
      </c>
      <c r="N23" s="13">
        <f>13/4</f>
        <v>3.25</v>
      </c>
      <c r="O23" s="23">
        <v>10</v>
      </c>
    </row>
    <row r="24" spans="1:15" x14ac:dyDescent="0.3">
      <c r="A24" s="7">
        <v>9</v>
      </c>
      <c r="B24" s="22" t="s">
        <v>45</v>
      </c>
      <c r="C24" s="22" t="s">
        <v>46</v>
      </c>
      <c r="D24" s="7">
        <v>12</v>
      </c>
      <c r="E24" s="7">
        <v>5</v>
      </c>
      <c r="F24" s="7">
        <v>1</v>
      </c>
      <c r="G24" s="7">
        <v>6</v>
      </c>
      <c r="H24" s="7">
        <f>12+8+7</f>
        <v>27</v>
      </c>
      <c r="I24" s="7">
        <f>15+10+4</f>
        <v>29</v>
      </c>
      <c r="J24" s="7">
        <f>2*E24+F24</f>
        <v>11</v>
      </c>
      <c r="K24" s="8">
        <f t="shared" ref="K24" si="6">H24/D24</f>
        <v>2.25</v>
      </c>
      <c r="L24" s="7">
        <v>2</v>
      </c>
      <c r="M24" s="8">
        <f>I24/D24</f>
        <v>2.4166666666666665</v>
      </c>
      <c r="N24" s="13">
        <f>3/1</f>
        <v>3</v>
      </c>
      <c r="O24" s="23">
        <v>7</v>
      </c>
    </row>
    <row r="25" spans="1:15" x14ac:dyDescent="0.3">
      <c r="A25" s="7">
        <v>10</v>
      </c>
      <c r="B25" s="7" t="s">
        <v>28</v>
      </c>
      <c r="C25" s="7" t="s">
        <v>30</v>
      </c>
      <c r="D25" s="7">
        <v>11</v>
      </c>
      <c r="E25" s="7">
        <f>3</f>
        <v>3</v>
      </c>
      <c r="F25" s="7">
        <v>3</v>
      </c>
      <c r="G25" s="7">
        <v>5</v>
      </c>
      <c r="H25" s="7">
        <f>21+3+13</f>
        <v>37</v>
      </c>
      <c r="I25" s="7">
        <f>13+8+15</f>
        <v>36</v>
      </c>
      <c r="J25" s="7">
        <f>2*E25+F25</f>
        <v>9</v>
      </c>
      <c r="K25" s="8">
        <f>H25/D25</f>
        <v>3.3636363636363638</v>
      </c>
      <c r="L25" s="7">
        <v>0</v>
      </c>
      <c r="M25" s="8">
        <f>I25/D25</f>
        <v>3.2727272727272729</v>
      </c>
      <c r="N25" s="13">
        <f>4/1</f>
        <v>4</v>
      </c>
      <c r="O25" s="23">
        <v>4</v>
      </c>
    </row>
    <row r="26" spans="1:15" x14ac:dyDescent="0.3">
      <c r="A26" s="7">
        <v>11</v>
      </c>
      <c r="B26" s="7" t="s">
        <v>24</v>
      </c>
      <c r="C26" s="7" t="s">
        <v>23</v>
      </c>
      <c r="D26" s="22">
        <v>38</v>
      </c>
      <c r="E26" s="22">
        <v>4</v>
      </c>
      <c r="F26" s="22">
        <v>5</v>
      </c>
      <c r="G26" s="22">
        <v>29</v>
      </c>
      <c r="H26" s="7">
        <v>70</v>
      </c>
      <c r="I26" s="7">
        <v>133</v>
      </c>
      <c r="J26" s="7">
        <f>2*E26+F26</f>
        <v>13</v>
      </c>
      <c r="K26" s="8">
        <f>H26/D26</f>
        <v>1.8421052631578947</v>
      </c>
      <c r="L26" s="22">
        <v>0</v>
      </c>
      <c r="M26" s="8">
        <f>I26/D26</f>
        <v>3.5</v>
      </c>
      <c r="N26" s="13">
        <f>28/4</f>
        <v>7</v>
      </c>
      <c r="O26" s="23">
        <v>4</v>
      </c>
    </row>
    <row r="27" spans="1:15" x14ac:dyDescent="0.3">
      <c r="D27">
        <f>SUM(D16:D26)/2</f>
        <v>223</v>
      </c>
      <c r="H27">
        <f>SUM(H16:H26)</f>
        <v>1135</v>
      </c>
      <c r="I27">
        <f>SUM(I16:I26)</f>
        <v>1135</v>
      </c>
    </row>
    <row r="28" spans="1:15" x14ac:dyDescent="0.3">
      <c r="H28">
        <f>H27/D27</f>
        <v>5.0896860986547088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1.kolo</vt:lpstr>
      <vt:lpstr>2. kolo</vt:lpstr>
      <vt:lpstr>3. kolo</vt:lpstr>
      <vt:lpstr>4.kolo</vt:lpstr>
      <vt:lpstr>5.kolo</vt:lpstr>
      <vt:lpstr>6.kolo</vt:lpstr>
      <vt:lpstr>7.kolo</vt:lpstr>
      <vt:lpstr>8.kolo-anulováno</vt:lpstr>
      <vt:lpstr>9.kolo</vt:lpstr>
      <vt:lpstr>10.kolo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vojta</dc:creator>
  <cp:lastModifiedBy>admin</cp:lastModifiedBy>
  <cp:lastPrinted>2016-03-14T14:28:57Z</cp:lastPrinted>
  <dcterms:created xsi:type="dcterms:W3CDTF">2015-10-15T07:23:16Z</dcterms:created>
  <dcterms:modified xsi:type="dcterms:W3CDTF">2020-03-30T11:28:27Z</dcterms:modified>
</cp:coreProperties>
</file>