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9"/>
  </bookViews>
  <sheets>
    <sheet name="1.kolo" sheetId="1" r:id="rId1"/>
    <sheet name="2.kolo" sheetId="2" r:id="rId2"/>
    <sheet name="3.kolo" sheetId="3" r:id="rId3"/>
    <sheet name="4.kolo" sheetId="4" r:id="rId4"/>
    <sheet name="5.kolo" sheetId="5" r:id="rId5"/>
    <sheet name="6.kolo" sheetId="6" r:id="rId6"/>
    <sheet name="7.kolo" sheetId="7" r:id="rId7"/>
    <sheet name="8.kolo" sheetId="8" r:id="rId8"/>
    <sheet name="9.kolo" sheetId="9" r:id="rId9"/>
    <sheet name="10.kolo" sheetId="10" r:id="rId10"/>
  </sheets>
  <calcPr calcId="125725"/>
</workbook>
</file>

<file path=xl/calcChain.xml><?xml version="1.0" encoding="utf-8"?>
<calcChain xmlns="http://schemas.openxmlformats.org/spreadsheetml/2006/main">
  <c r="G37" i="10"/>
  <c r="D36"/>
  <c r="I36"/>
  <c r="H36"/>
  <c r="N31"/>
  <c r="N29"/>
  <c r="N28"/>
  <c r="N26"/>
  <c r="N23"/>
  <c r="N24"/>
  <c r="N21"/>
  <c r="N20"/>
  <c r="N32"/>
  <c r="J32"/>
  <c r="I32"/>
  <c r="M32" s="1"/>
  <c r="H32"/>
  <c r="K32" s="1"/>
  <c r="N27"/>
  <c r="D23"/>
  <c r="E20"/>
  <c r="N35"/>
  <c r="N34"/>
  <c r="D15"/>
  <c r="D29" i="9"/>
  <c r="H31" i="10"/>
  <c r="I31"/>
  <c r="M35"/>
  <c r="K35"/>
  <c r="J35"/>
  <c r="H35"/>
  <c r="M34"/>
  <c r="K34"/>
  <c r="J34"/>
  <c r="I34"/>
  <c r="H34"/>
  <c r="N33"/>
  <c r="M33"/>
  <c r="K33"/>
  <c r="J33"/>
  <c r="I33"/>
  <c r="H33"/>
  <c r="O27"/>
  <c r="I27"/>
  <c r="M27" s="1"/>
  <c r="H27"/>
  <c r="K27" s="1"/>
  <c r="M31"/>
  <c r="K31"/>
  <c r="D31"/>
  <c r="I29"/>
  <c r="M29" s="1"/>
  <c r="H29"/>
  <c r="K29" s="1"/>
  <c r="O28"/>
  <c r="I28"/>
  <c r="M28" s="1"/>
  <c r="H28"/>
  <c r="N30"/>
  <c r="M30"/>
  <c r="J30"/>
  <c r="I30"/>
  <c r="H30"/>
  <c r="K30" s="1"/>
  <c r="I26"/>
  <c r="M26" s="1"/>
  <c r="H26"/>
  <c r="K26" s="1"/>
  <c r="O23"/>
  <c r="I23"/>
  <c r="M23" s="1"/>
  <c r="H23"/>
  <c r="N25"/>
  <c r="J25"/>
  <c r="I25"/>
  <c r="M25" s="1"/>
  <c r="H25"/>
  <c r="K25" s="1"/>
  <c r="O24"/>
  <c r="I24"/>
  <c r="M24" s="1"/>
  <c r="H24"/>
  <c r="K24" s="1"/>
  <c r="O22"/>
  <c r="N22"/>
  <c r="J22"/>
  <c r="I22"/>
  <c r="M22" s="1"/>
  <c r="H22"/>
  <c r="K22" s="1"/>
  <c r="O21"/>
  <c r="I21"/>
  <c r="M21" s="1"/>
  <c r="H21"/>
  <c r="O20"/>
  <c r="J21"/>
  <c r="J24"/>
  <c r="J23"/>
  <c r="J26"/>
  <c r="J28"/>
  <c r="J29"/>
  <c r="J31"/>
  <c r="J27"/>
  <c r="J20"/>
  <c r="M20"/>
  <c r="K21"/>
  <c r="K28"/>
  <c r="K20"/>
  <c r="I20"/>
  <c r="H20"/>
  <c r="D20"/>
  <c r="K23" l="1"/>
  <c r="H14"/>
  <c r="K14" s="1"/>
  <c r="I13"/>
  <c r="H13"/>
  <c r="K13" s="1"/>
  <c r="I12"/>
  <c r="H12"/>
  <c r="I11"/>
  <c r="M11" s="1"/>
  <c r="H11"/>
  <c r="K11" s="1"/>
  <c r="I9"/>
  <c r="M9" s="1"/>
  <c r="H9"/>
  <c r="K9" s="1"/>
  <c r="J9"/>
  <c r="I10"/>
  <c r="H10"/>
  <c r="K10" s="1"/>
  <c r="I8"/>
  <c r="M8" s="1"/>
  <c r="H8"/>
  <c r="I7"/>
  <c r="M7" s="1"/>
  <c r="H7"/>
  <c r="K7" s="1"/>
  <c r="I6"/>
  <c r="H6"/>
  <c r="I5"/>
  <c r="H5"/>
  <c r="K5" s="1"/>
  <c r="I4"/>
  <c r="I15" s="1"/>
  <c r="H4"/>
  <c r="K4" s="1"/>
  <c r="M5"/>
  <c r="M6"/>
  <c r="M10"/>
  <c r="M12"/>
  <c r="M13"/>
  <c r="M14"/>
  <c r="K6"/>
  <c r="K8"/>
  <c r="K12"/>
  <c r="J4"/>
  <c r="J5"/>
  <c r="J6"/>
  <c r="J7"/>
  <c r="J8"/>
  <c r="J10"/>
  <c r="J11"/>
  <c r="J12"/>
  <c r="J13"/>
  <c r="J14"/>
  <c r="J3"/>
  <c r="H3"/>
  <c r="H15" s="1"/>
  <c r="I3"/>
  <c r="M3" s="1"/>
  <c r="G12" i="9"/>
  <c r="N26"/>
  <c r="N24"/>
  <c r="N22"/>
  <c r="N21"/>
  <c r="N19"/>
  <c r="N18"/>
  <c r="N17"/>
  <c r="N16"/>
  <c r="I29"/>
  <c r="H29"/>
  <c r="I26"/>
  <c r="M26" s="1"/>
  <c r="H26"/>
  <c r="N28"/>
  <c r="K28"/>
  <c r="J28"/>
  <c r="I28"/>
  <c r="M28" s="1"/>
  <c r="H28"/>
  <c r="N27"/>
  <c r="K27"/>
  <c r="J27"/>
  <c r="I27"/>
  <c r="M27" s="1"/>
  <c r="H27"/>
  <c r="N25"/>
  <c r="J25"/>
  <c r="I25"/>
  <c r="M25" s="1"/>
  <c r="H25"/>
  <c r="K25" s="1"/>
  <c r="I24"/>
  <c r="H24"/>
  <c r="K24" s="1"/>
  <c r="I22"/>
  <c r="H22"/>
  <c r="I21"/>
  <c r="M21" s="1"/>
  <c r="H21"/>
  <c r="K21" s="1"/>
  <c r="N23"/>
  <c r="K23"/>
  <c r="J23"/>
  <c r="I23"/>
  <c r="M23" s="1"/>
  <c r="H23"/>
  <c r="N20"/>
  <c r="M20"/>
  <c r="J20"/>
  <c r="I20"/>
  <c r="H20"/>
  <c r="K20" s="1"/>
  <c r="D20"/>
  <c r="I19"/>
  <c r="M19" s="1"/>
  <c r="H19"/>
  <c r="O18"/>
  <c r="I18"/>
  <c r="H18"/>
  <c r="K18" s="1"/>
  <c r="O17"/>
  <c r="I17"/>
  <c r="M17" s="1"/>
  <c r="H17"/>
  <c r="K17" s="1"/>
  <c r="O16"/>
  <c r="M18"/>
  <c r="M22"/>
  <c r="M24"/>
  <c r="M16"/>
  <c r="K19"/>
  <c r="K22"/>
  <c r="K26"/>
  <c r="K16"/>
  <c r="J17"/>
  <c r="J18"/>
  <c r="J19"/>
  <c r="J21"/>
  <c r="J22"/>
  <c r="J24"/>
  <c r="J26"/>
  <c r="J16"/>
  <c r="I16"/>
  <c r="H16"/>
  <c r="D16"/>
  <c r="D11"/>
  <c r="I11"/>
  <c r="H11"/>
  <c r="H9"/>
  <c r="K9" s="1"/>
  <c r="I8"/>
  <c r="M8" s="1"/>
  <c r="H8"/>
  <c r="K8" s="1"/>
  <c r="I7"/>
  <c r="M7" s="1"/>
  <c r="H7"/>
  <c r="I6"/>
  <c r="M6" s="1"/>
  <c r="H6"/>
  <c r="K6" s="1"/>
  <c r="I5"/>
  <c r="M5" s="1"/>
  <c r="H5"/>
  <c r="K5" s="1"/>
  <c r="I4"/>
  <c r="M4" s="1"/>
  <c r="H4"/>
  <c r="K4" s="1"/>
  <c r="M9"/>
  <c r="M10"/>
  <c r="M3"/>
  <c r="K7"/>
  <c r="K10"/>
  <c r="K3"/>
  <c r="J4"/>
  <c r="J5"/>
  <c r="J6"/>
  <c r="J7"/>
  <c r="J8"/>
  <c r="J9"/>
  <c r="J10"/>
  <c r="J3"/>
  <c r="I3"/>
  <c r="H3"/>
  <c r="N28" i="8"/>
  <c r="N27"/>
  <c r="N26"/>
  <c r="N25"/>
  <c r="N23"/>
  <c r="N22"/>
  <c r="N21"/>
  <c r="N20"/>
  <c r="N19"/>
  <c r="N18"/>
  <c r="G32"/>
  <c r="I31"/>
  <c r="H31"/>
  <c r="D31"/>
  <c r="N24"/>
  <c r="M24"/>
  <c r="J24"/>
  <c r="I24"/>
  <c r="H24"/>
  <c r="K24" s="1"/>
  <c r="N30"/>
  <c r="M30"/>
  <c r="J30"/>
  <c r="I30"/>
  <c r="H30"/>
  <c r="K30" s="1"/>
  <c r="N29"/>
  <c r="K29"/>
  <c r="J29"/>
  <c r="I29"/>
  <c r="M29" s="1"/>
  <c r="H29"/>
  <c r="I28"/>
  <c r="H28"/>
  <c r="D28"/>
  <c r="I27"/>
  <c r="M27" s="1"/>
  <c r="H27"/>
  <c r="K27" s="1"/>
  <c r="I26"/>
  <c r="H26"/>
  <c r="G26"/>
  <c r="D26"/>
  <c r="I25"/>
  <c r="M25" s="1"/>
  <c r="H25"/>
  <c r="K25" s="1"/>
  <c r="I23"/>
  <c r="H23"/>
  <c r="D23"/>
  <c r="I22"/>
  <c r="H22"/>
  <c r="D22"/>
  <c r="O21"/>
  <c r="I21"/>
  <c r="H21"/>
  <c r="D21"/>
  <c r="O20"/>
  <c r="I20"/>
  <c r="H20"/>
  <c r="D20"/>
  <c r="H19"/>
  <c r="K19" s="1"/>
  <c r="O19"/>
  <c r="I19"/>
  <c r="M19" s="1"/>
  <c r="D19"/>
  <c r="O18"/>
  <c r="M21"/>
  <c r="M18"/>
  <c r="K18"/>
  <c r="J19"/>
  <c r="J20"/>
  <c r="J21"/>
  <c r="J22"/>
  <c r="J23"/>
  <c r="J25"/>
  <c r="J26"/>
  <c r="J27"/>
  <c r="J28"/>
  <c r="J18"/>
  <c r="I18"/>
  <c r="H18"/>
  <c r="D18"/>
  <c r="G14"/>
  <c r="G16" i="10" l="1"/>
  <c r="M4"/>
  <c r="K3"/>
  <c r="G30" i="9"/>
  <c r="K28" i="8"/>
  <c r="M28"/>
  <c r="K26"/>
  <c r="M26"/>
  <c r="K23"/>
  <c r="M23"/>
  <c r="M22"/>
  <c r="K22"/>
  <c r="K21"/>
  <c r="M20"/>
  <c r="K20"/>
  <c r="I12"/>
  <c r="H12"/>
  <c r="I11"/>
  <c r="H11"/>
  <c r="H13" s="1"/>
  <c r="H10"/>
  <c r="K10" s="1"/>
  <c r="D13"/>
  <c r="I9"/>
  <c r="H9"/>
  <c r="H8"/>
  <c r="K8" s="1"/>
  <c r="I7"/>
  <c r="M7" s="1"/>
  <c r="H7"/>
  <c r="K7" s="1"/>
  <c r="I6"/>
  <c r="M6" s="1"/>
  <c r="H6"/>
  <c r="I5"/>
  <c r="H5"/>
  <c r="K5" s="1"/>
  <c r="I4"/>
  <c r="M4" s="1"/>
  <c r="H4"/>
  <c r="M5"/>
  <c r="M8"/>
  <c r="M9"/>
  <c r="M10"/>
  <c r="M11"/>
  <c r="M12"/>
  <c r="M3"/>
  <c r="K4"/>
  <c r="K6"/>
  <c r="K9"/>
  <c r="K11"/>
  <c r="K12"/>
  <c r="K3"/>
  <c r="J4"/>
  <c r="J5"/>
  <c r="J6"/>
  <c r="J7"/>
  <c r="J8"/>
  <c r="J9"/>
  <c r="J10"/>
  <c r="J11"/>
  <c r="J12"/>
  <c r="J3"/>
  <c r="I3"/>
  <c r="H3"/>
  <c r="N26" i="7"/>
  <c r="N24"/>
  <c r="N23"/>
  <c r="N20"/>
  <c r="N19"/>
  <c r="N18"/>
  <c r="N17"/>
  <c r="N16"/>
  <c r="I29"/>
  <c r="H29"/>
  <c r="D29"/>
  <c r="I26"/>
  <c r="H26"/>
  <c r="I23"/>
  <c r="I24"/>
  <c r="M24" s="1"/>
  <c r="H24"/>
  <c r="N25"/>
  <c r="K25"/>
  <c r="J25"/>
  <c r="I25"/>
  <c r="M25" s="1"/>
  <c r="H25"/>
  <c r="N28"/>
  <c r="J28"/>
  <c r="I28"/>
  <c r="M28" s="1"/>
  <c r="H28"/>
  <c r="K28" s="1"/>
  <c r="N27"/>
  <c r="M27"/>
  <c r="K27"/>
  <c r="J27"/>
  <c r="I27"/>
  <c r="H27"/>
  <c r="N22"/>
  <c r="M22"/>
  <c r="J22"/>
  <c r="I22"/>
  <c r="H22"/>
  <c r="K22" s="1"/>
  <c r="I20"/>
  <c r="H20"/>
  <c r="K20" s="1"/>
  <c r="N21"/>
  <c r="K21"/>
  <c r="J21"/>
  <c r="I21"/>
  <c r="M21" s="1"/>
  <c r="H21"/>
  <c r="I19"/>
  <c r="M19" s="1"/>
  <c r="H19"/>
  <c r="K19" s="1"/>
  <c r="I18"/>
  <c r="M18" s="1"/>
  <c r="H18"/>
  <c r="K18" s="1"/>
  <c r="O16"/>
  <c r="I16"/>
  <c r="H16"/>
  <c r="D16"/>
  <c r="M20"/>
  <c r="M23"/>
  <c r="M26"/>
  <c r="M17"/>
  <c r="K24"/>
  <c r="K23"/>
  <c r="K26"/>
  <c r="K17"/>
  <c r="J16"/>
  <c r="J18"/>
  <c r="J19"/>
  <c r="J20"/>
  <c r="J24"/>
  <c r="J23"/>
  <c r="J26"/>
  <c r="J17"/>
  <c r="I17"/>
  <c r="H17"/>
  <c r="D17"/>
  <c r="I13" i="8" l="1"/>
  <c r="G30" i="7"/>
  <c r="K16"/>
  <c r="M16"/>
  <c r="G12"/>
  <c r="I10"/>
  <c r="M10" s="1"/>
  <c r="H10"/>
  <c r="H11" s="1"/>
  <c r="H9"/>
  <c r="I8"/>
  <c r="H7"/>
  <c r="I11"/>
  <c r="D11"/>
  <c r="I6"/>
  <c r="H6"/>
  <c r="I5"/>
  <c r="H5"/>
  <c r="I4"/>
  <c r="H4"/>
  <c r="K4" s="1"/>
  <c r="M4"/>
  <c r="M5"/>
  <c r="M6"/>
  <c r="M7"/>
  <c r="M8"/>
  <c r="M9"/>
  <c r="M3"/>
  <c r="K5"/>
  <c r="K6"/>
  <c r="K7"/>
  <c r="K8"/>
  <c r="K9"/>
  <c r="K10"/>
  <c r="K3"/>
  <c r="J4"/>
  <c r="J5"/>
  <c r="J6"/>
  <c r="J7"/>
  <c r="J8"/>
  <c r="J9"/>
  <c r="J10"/>
  <c r="J3"/>
  <c r="I3"/>
  <c r="H3"/>
  <c r="G33" i="6"/>
  <c r="J25"/>
  <c r="N29"/>
  <c r="N28"/>
  <c r="N27"/>
  <c r="N26"/>
  <c r="N24"/>
  <c r="N23"/>
  <c r="N22"/>
  <c r="N21"/>
  <c r="N20"/>
  <c r="N19"/>
  <c r="N25"/>
  <c r="D32"/>
  <c r="I32"/>
  <c r="H32"/>
  <c r="I28"/>
  <c r="M28" s="1"/>
  <c r="H28"/>
  <c r="M25"/>
  <c r="K25"/>
  <c r="I25"/>
  <c r="H25"/>
  <c r="N31"/>
  <c r="M31"/>
  <c r="J31"/>
  <c r="I31"/>
  <c r="H31"/>
  <c r="K31" s="1"/>
  <c r="N30"/>
  <c r="K30"/>
  <c r="J30"/>
  <c r="I30"/>
  <c r="M30" s="1"/>
  <c r="H30"/>
  <c r="I29"/>
  <c r="M29" s="1"/>
  <c r="H29"/>
  <c r="K29" s="1"/>
  <c r="I27"/>
  <c r="H27"/>
  <c r="K27" s="1"/>
  <c r="I26"/>
  <c r="M26" s="1"/>
  <c r="H26"/>
  <c r="K26" s="1"/>
  <c r="I24"/>
  <c r="H24"/>
  <c r="K24" s="1"/>
  <c r="I23"/>
  <c r="M23" s="1"/>
  <c r="H23"/>
  <c r="K23" s="1"/>
  <c r="I22"/>
  <c r="H22"/>
  <c r="D22"/>
  <c r="I21"/>
  <c r="H21"/>
  <c r="K21" s="1"/>
  <c r="O19"/>
  <c r="I19"/>
  <c r="M19" s="1"/>
  <c r="H19"/>
  <c r="K19" s="1"/>
  <c r="O20"/>
  <c r="M21"/>
  <c r="M24"/>
  <c r="M27"/>
  <c r="M20"/>
  <c r="K28"/>
  <c r="K20"/>
  <c r="J19"/>
  <c r="J21"/>
  <c r="J22"/>
  <c r="J23"/>
  <c r="J24"/>
  <c r="J26"/>
  <c r="J27"/>
  <c r="J29"/>
  <c r="J28"/>
  <c r="J20"/>
  <c r="I20"/>
  <c r="H20"/>
  <c r="D20"/>
  <c r="G15"/>
  <c r="I11"/>
  <c r="H11"/>
  <c r="I10"/>
  <c r="H10"/>
  <c r="I9"/>
  <c r="H9"/>
  <c r="I8"/>
  <c r="H8"/>
  <c r="I7"/>
  <c r="H7"/>
  <c r="D14"/>
  <c r="I6"/>
  <c r="H6"/>
  <c r="I5"/>
  <c r="H5"/>
  <c r="K22" l="1"/>
  <c r="M22"/>
  <c r="I14"/>
  <c r="H14"/>
  <c r="I4"/>
  <c r="M4" s="1"/>
  <c r="H4"/>
  <c r="M5"/>
  <c r="M6"/>
  <c r="M7"/>
  <c r="M8"/>
  <c r="M9"/>
  <c r="M10"/>
  <c r="M11"/>
  <c r="M12"/>
  <c r="M13"/>
  <c r="M3"/>
  <c r="K4"/>
  <c r="K5"/>
  <c r="K6"/>
  <c r="K7"/>
  <c r="K8"/>
  <c r="K9"/>
  <c r="K10"/>
  <c r="K11"/>
  <c r="K12"/>
  <c r="K13"/>
  <c r="K3"/>
  <c r="J4"/>
  <c r="J5"/>
  <c r="J6"/>
  <c r="J7"/>
  <c r="J8"/>
  <c r="J9"/>
  <c r="J10"/>
  <c r="J11"/>
  <c r="J12"/>
  <c r="J13"/>
  <c r="J3"/>
  <c r="I3"/>
  <c r="H3"/>
  <c r="G30" i="5" l="1"/>
  <c r="D29"/>
  <c r="H29"/>
  <c r="I29"/>
  <c r="N28"/>
  <c r="M28"/>
  <c r="K28"/>
  <c r="J28"/>
  <c r="I28"/>
  <c r="H28"/>
  <c r="H27"/>
  <c r="K27" s="1"/>
  <c r="I27"/>
  <c r="M27" s="1"/>
  <c r="J27"/>
  <c r="N27"/>
  <c r="N25"/>
  <c r="N24"/>
  <c r="H24"/>
  <c r="K24" s="1"/>
  <c r="G24"/>
  <c r="N23"/>
  <c r="I23"/>
  <c r="M23" s="1"/>
  <c r="N21"/>
  <c r="I21"/>
  <c r="H21"/>
  <c r="K21" s="1"/>
  <c r="O19"/>
  <c r="N19"/>
  <c r="I19"/>
  <c r="H19"/>
  <c r="K19" s="1"/>
  <c r="N20"/>
  <c r="N18"/>
  <c r="I20"/>
  <c r="H20"/>
  <c r="K20" s="1"/>
  <c r="O18"/>
  <c r="I18"/>
  <c r="H18"/>
  <c r="D18"/>
  <c r="O17"/>
  <c r="N17"/>
  <c r="I17"/>
  <c r="H17"/>
  <c r="D17"/>
  <c r="J25"/>
  <c r="M25"/>
  <c r="K25"/>
  <c r="N26"/>
  <c r="J26"/>
  <c r="I26"/>
  <c r="M26" s="1"/>
  <c r="H26"/>
  <c r="K26" s="1"/>
  <c r="M24"/>
  <c r="J24"/>
  <c r="J23"/>
  <c r="N22"/>
  <c r="M22"/>
  <c r="K22"/>
  <c r="J22"/>
  <c r="I22"/>
  <c r="H22"/>
  <c r="M21"/>
  <c r="J21"/>
  <c r="J19"/>
  <c r="M19"/>
  <c r="M20"/>
  <c r="J20"/>
  <c r="J18"/>
  <c r="K18"/>
  <c r="J17"/>
  <c r="D28" i="4"/>
  <c r="G29"/>
  <c r="I10" i="5"/>
  <c r="M10" s="1"/>
  <c r="I9"/>
  <c r="M9" s="1"/>
  <c r="I8"/>
  <c r="M8" s="1"/>
  <c r="H8"/>
  <c r="I7"/>
  <c r="M7" s="1"/>
  <c r="H7"/>
  <c r="K7" s="1"/>
  <c r="I6"/>
  <c r="M6" s="1"/>
  <c r="H6"/>
  <c r="K6" s="1"/>
  <c r="I5"/>
  <c r="M5" s="1"/>
  <c r="H5"/>
  <c r="K5" s="1"/>
  <c r="I4"/>
  <c r="H4"/>
  <c r="K4" s="1"/>
  <c r="I3"/>
  <c r="M3" s="1"/>
  <c r="H3"/>
  <c r="D12"/>
  <c r="K11"/>
  <c r="J11"/>
  <c r="M11"/>
  <c r="K10"/>
  <c r="J10"/>
  <c r="K9"/>
  <c r="J9"/>
  <c r="J8"/>
  <c r="K8"/>
  <c r="J7"/>
  <c r="J6"/>
  <c r="J5"/>
  <c r="M4"/>
  <c r="J4"/>
  <c r="K3"/>
  <c r="J3"/>
  <c r="N27" i="4"/>
  <c r="N23"/>
  <c r="N24"/>
  <c r="N20"/>
  <c r="N17"/>
  <c r="N18"/>
  <c r="N19"/>
  <c r="N22"/>
  <c r="N26"/>
  <c r="M26"/>
  <c r="K26"/>
  <c r="J26"/>
  <c r="I26"/>
  <c r="H26"/>
  <c r="J22"/>
  <c r="I22"/>
  <c r="M22" s="1"/>
  <c r="H22"/>
  <c r="K22" s="1"/>
  <c r="N25"/>
  <c r="K25"/>
  <c r="J25"/>
  <c r="I25"/>
  <c r="M25" s="1"/>
  <c r="H25"/>
  <c r="N21"/>
  <c r="M21"/>
  <c r="J21"/>
  <c r="H21"/>
  <c r="K21" s="1"/>
  <c r="I27"/>
  <c r="H27"/>
  <c r="D27"/>
  <c r="I23"/>
  <c r="H23"/>
  <c r="K23" s="1"/>
  <c r="D23"/>
  <c r="I24"/>
  <c r="H24"/>
  <c r="D24"/>
  <c r="M24" s="1"/>
  <c r="I20"/>
  <c r="H20"/>
  <c r="D20"/>
  <c r="K20" s="1"/>
  <c r="O17"/>
  <c r="I17"/>
  <c r="H17"/>
  <c r="H28" s="1"/>
  <c r="D17"/>
  <c r="I18"/>
  <c r="I28" s="1"/>
  <c r="H18"/>
  <c r="D18"/>
  <c r="K18" s="1"/>
  <c r="K27"/>
  <c r="J18"/>
  <c r="J17"/>
  <c r="J20"/>
  <c r="J24"/>
  <c r="J23"/>
  <c r="J27"/>
  <c r="I19"/>
  <c r="M19" s="1"/>
  <c r="H19"/>
  <c r="K19" s="1"/>
  <c r="F19"/>
  <c r="E19"/>
  <c r="J19" s="1"/>
  <c r="D19"/>
  <c r="I5"/>
  <c r="H5"/>
  <c r="I6"/>
  <c r="H6"/>
  <c r="I3"/>
  <c r="H3"/>
  <c r="I4"/>
  <c r="H4"/>
  <c r="I9"/>
  <c r="M18" i="5" l="1"/>
  <c r="H12"/>
  <c r="G13" s="1"/>
  <c r="K17"/>
  <c r="K23"/>
  <c r="M17"/>
  <c r="I12"/>
  <c r="M27" i="4"/>
  <c r="M23"/>
  <c r="K24"/>
  <c r="M20"/>
  <c r="M17"/>
  <c r="K17"/>
  <c r="M18"/>
  <c r="I10"/>
  <c r="H10"/>
  <c r="K10" s="1"/>
  <c r="H9"/>
  <c r="K9" s="1"/>
  <c r="D12"/>
  <c r="I11"/>
  <c r="M11" s="1"/>
  <c r="H11"/>
  <c r="K11" s="1"/>
  <c r="I8"/>
  <c r="M8" s="1"/>
  <c r="H8"/>
  <c r="K8" s="1"/>
  <c r="I7"/>
  <c r="M7" s="1"/>
  <c r="H7"/>
  <c r="K7" s="1"/>
  <c r="M6"/>
  <c r="K6"/>
  <c r="M5"/>
  <c r="J5"/>
  <c r="M4"/>
  <c r="K4"/>
  <c r="M9"/>
  <c r="M10"/>
  <c r="M3"/>
  <c r="K5"/>
  <c r="K3"/>
  <c r="J4"/>
  <c r="J6"/>
  <c r="J7"/>
  <c r="J8"/>
  <c r="J9"/>
  <c r="J10"/>
  <c r="J11"/>
  <c r="J3"/>
  <c r="H12" l="1"/>
  <c r="G13" s="1"/>
  <c r="I12"/>
  <c r="D25" i="3"/>
  <c r="N23"/>
  <c r="M23"/>
  <c r="J23"/>
  <c r="I23"/>
  <c r="H23"/>
  <c r="K23" s="1"/>
  <c r="N20"/>
  <c r="M20"/>
  <c r="J20"/>
  <c r="H20"/>
  <c r="K20" s="1"/>
  <c r="H17"/>
  <c r="K17" s="1"/>
  <c r="J17"/>
  <c r="M17"/>
  <c r="N17"/>
  <c r="N24"/>
  <c r="I24"/>
  <c r="M24" s="1"/>
  <c r="N18"/>
  <c r="H18"/>
  <c r="K18" s="1"/>
  <c r="N19"/>
  <c r="I19"/>
  <c r="M19" s="1"/>
  <c r="H19"/>
  <c r="K19" s="1"/>
  <c r="N16"/>
  <c r="I16"/>
  <c r="I25" s="1"/>
  <c r="H16"/>
  <c r="K16" s="1"/>
  <c r="K24"/>
  <c r="J24"/>
  <c r="N22"/>
  <c r="M22"/>
  <c r="K22"/>
  <c r="J22"/>
  <c r="N21"/>
  <c r="M21"/>
  <c r="J21"/>
  <c r="H21"/>
  <c r="K21" s="1"/>
  <c r="M18"/>
  <c r="J18"/>
  <c r="J19"/>
  <c r="J16"/>
  <c r="D11"/>
  <c r="K10"/>
  <c r="J10"/>
  <c r="I10"/>
  <c r="M10" s="1"/>
  <c r="J9"/>
  <c r="I9"/>
  <c r="M9" s="1"/>
  <c r="H9"/>
  <c r="K9" s="1"/>
  <c r="J8"/>
  <c r="I8"/>
  <c r="M8" s="1"/>
  <c r="H8"/>
  <c r="K8" s="1"/>
  <c r="J7"/>
  <c r="I7"/>
  <c r="M7" s="1"/>
  <c r="H7"/>
  <c r="K7" s="1"/>
  <c r="K6"/>
  <c r="J6"/>
  <c r="I6"/>
  <c r="M6" s="1"/>
  <c r="H6"/>
  <c r="J5"/>
  <c r="I5"/>
  <c r="M5" s="1"/>
  <c r="H5"/>
  <c r="K5" s="1"/>
  <c r="M4"/>
  <c r="J4"/>
  <c r="H4"/>
  <c r="H25" l="1"/>
  <c r="H26" s="1"/>
  <c r="M16"/>
  <c r="H11"/>
  <c r="H12" s="1"/>
  <c r="I11"/>
  <c r="K4"/>
  <c r="N16" i="2"/>
  <c r="N20"/>
  <c r="N19"/>
  <c r="N18"/>
  <c r="N15"/>
  <c r="N17"/>
  <c r="N14"/>
  <c r="I20"/>
  <c r="M20" s="1"/>
  <c r="H18"/>
  <c r="K18" s="1"/>
  <c r="I15"/>
  <c r="M15" s="1"/>
  <c r="H15"/>
  <c r="K15" s="1"/>
  <c r="K16"/>
  <c r="J16"/>
  <c r="I16"/>
  <c r="M16" s="1"/>
  <c r="H16"/>
  <c r="J17"/>
  <c r="I17"/>
  <c r="M17" s="1"/>
  <c r="H17"/>
  <c r="K17" s="1"/>
  <c r="M18"/>
  <c r="M19"/>
  <c r="K19"/>
  <c r="K20"/>
  <c r="J15"/>
  <c r="J18"/>
  <c r="J19"/>
  <c r="J20"/>
  <c r="J14"/>
  <c r="I14"/>
  <c r="M14" s="1"/>
  <c r="H14"/>
  <c r="D14"/>
  <c r="I7"/>
  <c r="M7" s="1"/>
  <c r="H7"/>
  <c r="K7" s="1"/>
  <c r="D9"/>
  <c r="I6"/>
  <c r="M6" s="1"/>
  <c r="H6"/>
  <c r="I5"/>
  <c r="M5" s="1"/>
  <c r="H5"/>
  <c r="K5" s="1"/>
  <c r="M8"/>
  <c r="I4"/>
  <c r="M4" s="1"/>
  <c r="H4"/>
  <c r="K4" s="1"/>
  <c r="K8"/>
  <c r="K6"/>
  <c r="K14" l="1"/>
  <c r="J4"/>
  <c r="J5"/>
  <c r="J6"/>
  <c r="J7"/>
  <c r="J8"/>
  <c r="J3"/>
  <c r="I3"/>
  <c r="H3"/>
  <c r="D9" i="1"/>
  <c r="M7"/>
  <c r="M8"/>
  <c r="K8"/>
  <c r="J4"/>
  <c r="J5"/>
  <c r="J6"/>
  <c r="J7"/>
  <c r="J8"/>
  <c r="J3"/>
  <c r="I7"/>
  <c r="H7"/>
  <c r="K7" s="1"/>
  <c r="I6"/>
  <c r="M6" s="1"/>
  <c r="H6"/>
  <c r="K6" s="1"/>
  <c r="I5"/>
  <c r="M5" s="1"/>
  <c r="H5"/>
  <c r="K5" s="1"/>
  <c r="I4"/>
  <c r="M4" s="1"/>
  <c r="H4"/>
  <c r="K4" s="1"/>
  <c r="I3"/>
  <c r="M3" s="1"/>
  <c r="H3"/>
  <c r="K3" s="1"/>
  <c r="H9" i="2" l="1"/>
  <c r="H10" s="1"/>
  <c r="K3"/>
  <c r="M3"/>
  <c r="I9"/>
  <c r="I9" i="1"/>
  <c r="H9"/>
  <c r="H10" s="1"/>
  <c r="D21" i="2"/>
  <c r="H22"/>
  <c r="H21"/>
  <c r="I21"/>
</calcChain>
</file>

<file path=xl/sharedStrings.xml><?xml version="1.0" encoding="utf-8"?>
<sst xmlns="http://schemas.openxmlformats.org/spreadsheetml/2006/main" count="690" uniqueCount="68">
  <si>
    <t>pořadí</t>
  </si>
  <si>
    <t>jméno</t>
  </si>
  <si>
    <t>příjmení</t>
  </si>
  <si>
    <t>zápasy</t>
  </si>
  <si>
    <t>výhry</t>
  </si>
  <si>
    <t>remízy</t>
  </si>
  <si>
    <t>prohry</t>
  </si>
  <si>
    <t>vstřel. góly</t>
  </si>
  <si>
    <t>body</t>
  </si>
  <si>
    <t>útok</t>
  </si>
  <si>
    <t>nuly</t>
  </si>
  <si>
    <t>obrana</t>
  </si>
  <si>
    <t>prům. umís.</t>
  </si>
  <si>
    <t>body celkem</t>
  </si>
  <si>
    <t>Vlasta</t>
  </si>
  <si>
    <t>Gobyová</t>
  </si>
  <si>
    <t>Pavel</t>
  </si>
  <si>
    <t>Goby</t>
  </si>
  <si>
    <t>Tomáš</t>
  </si>
  <si>
    <t>Kratochvíl</t>
  </si>
  <si>
    <t>Adam</t>
  </si>
  <si>
    <t>Marek</t>
  </si>
  <si>
    <t>Provazník</t>
  </si>
  <si>
    <t>Josef</t>
  </si>
  <si>
    <t>1. kolo T.L.S.H. 2016/2017  1. 10. 2016</t>
  </si>
  <si>
    <t>2. kolo T.L.S.H. 2016/2017  22. 10. 2016</t>
  </si>
  <si>
    <t>Jaroslav</t>
  </si>
  <si>
    <t>Sládek st.</t>
  </si>
  <si>
    <t>Výsledky po 2. kolo T.L.S.H. 2016/2017</t>
  </si>
  <si>
    <t xml:space="preserve">Vlasta </t>
  </si>
  <si>
    <t>obdrž. góly</t>
  </si>
  <si>
    <t>3. kolo T.L.S.H. 2016/2017    29.10.2016</t>
  </si>
  <si>
    <t>Vojtěch</t>
  </si>
  <si>
    <t>Michal</t>
  </si>
  <si>
    <t>Benák</t>
  </si>
  <si>
    <t xml:space="preserve">Goby </t>
  </si>
  <si>
    <t xml:space="preserve">Tomáš </t>
  </si>
  <si>
    <t>Výsledky po 3. kole T.L.S.H. 2016/2017</t>
  </si>
  <si>
    <t>4. kolo T.L.S.H. 2016/2017    12. 11. 2016</t>
  </si>
  <si>
    <t>Pohořalý</t>
  </si>
  <si>
    <t xml:space="preserve">Vojtěch </t>
  </si>
  <si>
    <t>Kateřina</t>
  </si>
  <si>
    <t>Stařecká</t>
  </si>
  <si>
    <t xml:space="preserve">Marek </t>
  </si>
  <si>
    <t>Výsledky po 4. kole T.L.S.H. 2016/2017</t>
  </si>
  <si>
    <t>5. kolo T.L.S.H. 2016/2017    3. 12. 2016</t>
  </si>
  <si>
    <t>Kapal</t>
  </si>
  <si>
    <t>Výsledky po 5. kole T.L.S.H. 2016/2017</t>
  </si>
  <si>
    <t>6. kolo T.L.S.H. 2016/2017    10. 12. 2016</t>
  </si>
  <si>
    <t>Aneta</t>
  </si>
  <si>
    <t>Pohořalá</t>
  </si>
  <si>
    <t xml:space="preserve">Pavel </t>
  </si>
  <si>
    <t>Výsledky po 6. kole T.L.S.H. 2016/2017</t>
  </si>
  <si>
    <t xml:space="preserve">Adam </t>
  </si>
  <si>
    <t>7. kolo T.L.S.H. 2016/2017    15. 1. 2017</t>
  </si>
  <si>
    <t>Výsledky po 7. kole T.L.S.H. 2016/2017</t>
  </si>
  <si>
    <t xml:space="preserve">Kateřina </t>
  </si>
  <si>
    <t>8. kolo T.L.S.H. 2016/2017    28. 1. 2017</t>
  </si>
  <si>
    <t>Výsledky po 8. kole T.L.S.H. 2016/2017</t>
  </si>
  <si>
    <t>9. kolo T.L.S.H. 2016/2017    11. 2. 2017</t>
  </si>
  <si>
    <t>Výsledky po 9. kole T.L.S.H. 2016/2017</t>
  </si>
  <si>
    <t>10. kolo T.L.S.H. 2016/2017    18. 3. 2017</t>
  </si>
  <si>
    <t>Fulín</t>
  </si>
  <si>
    <t>Jiří</t>
  </si>
  <si>
    <t>David</t>
  </si>
  <si>
    <t>Škvor</t>
  </si>
  <si>
    <t xml:space="preserve">Josef </t>
  </si>
  <si>
    <t xml:space="preserve">Celkové výsledky T.L.S.H. 2016/2017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</si>
</sst>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3">
    <font>
      <sz val="11"/>
      <color theme="1"/>
      <name val="Calibri"/>
      <family val="2"/>
      <charset val="238"/>
      <scheme val="minor"/>
    </font>
    <font>
      <b/>
      <sz val="18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/>
    <xf numFmtId="2" fontId="0" fillId="0" borderId="1" xfId="0" applyNumberFormat="1" applyBorder="1"/>
    <xf numFmtId="0" fontId="0" fillId="2" borderId="1" xfId="0" applyFill="1" applyBorder="1"/>
    <xf numFmtId="0" fontId="0" fillId="3" borderId="2" xfId="0" applyFill="1" applyBorder="1" applyAlignment="1">
      <alignment horizontal="center" shrinkToFit="1"/>
    </xf>
    <xf numFmtId="0" fontId="0" fillId="3" borderId="2" xfId="0" applyFill="1" applyBorder="1" applyAlignment="1">
      <alignment horizontal="center"/>
    </xf>
    <xf numFmtId="165" fontId="0" fillId="0" borderId="0" xfId="0" applyNumberFormat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166" fontId="0" fillId="0" borderId="1" xfId="0" applyNumberFormat="1" applyBorder="1"/>
    <xf numFmtId="0" fontId="2" fillId="3" borderId="2" xfId="0" applyFont="1" applyFill="1" applyBorder="1" applyAlignment="1">
      <alignment horizontal="center" shrinkToFit="1"/>
    </xf>
    <xf numFmtId="0" fontId="0" fillId="3" borderId="1" xfId="0" applyFill="1" applyBorder="1" applyAlignment="1">
      <alignment horizontal="center"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L14" sqref="L14"/>
    </sheetView>
  </sheetViews>
  <sheetFormatPr defaultRowHeight="15"/>
  <cols>
    <col min="4" max="4" width="10.42578125" bestFit="1" customWidth="1"/>
  </cols>
  <sheetData>
    <row r="1" spans="1:15" ht="23.25">
      <c r="E1" s="1" t="s">
        <v>24</v>
      </c>
    </row>
    <row r="2" spans="1:1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13" t="s">
        <v>30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>
      <c r="A3" s="2">
        <v>1</v>
      </c>
      <c r="B3" s="2" t="s">
        <v>16</v>
      </c>
      <c r="C3" s="2" t="s">
        <v>17</v>
      </c>
      <c r="D3" s="2">
        <v>9</v>
      </c>
      <c r="E3" s="2">
        <v>7</v>
      </c>
      <c r="F3" s="2">
        <v>2</v>
      </c>
      <c r="G3" s="2">
        <v>0</v>
      </c>
      <c r="H3" s="2">
        <f>21+12+7</f>
        <v>40</v>
      </c>
      <c r="I3" s="2">
        <f>5+4</f>
        <v>9</v>
      </c>
      <c r="J3" s="2">
        <f t="shared" ref="J3:J8" si="0">E3*2+F3</f>
        <v>16</v>
      </c>
      <c r="K3" s="4">
        <f t="shared" ref="K3:K8" si="1">H3/D3</f>
        <v>4.4444444444444446</v>
      </c>
      <c r="L3" s="2">
        <v>3</v>
      </c>
      <c r="M3" s="4">
        <f t="shared" ref="M3:M8" si="2">I3/D3</f>
        <v>1</v>
      </c>
      <c r="N3" s="2"/>
      <c r="O3" s="5">
        <v>9</v>
      </c>
    </row>
    <row r="4" spans="1:15">
      <c r="A4" s="2">
        <v>2</v>
      </c>
      <c r="B4" s="2" t="s">
        <v>14</v>
      </c>
      <c r="C4" s="2" t="s">
        <v>15</v>
      </c>
      <c r="D4" s="2">
        <v>9</v>
      </c>
      <c r="E4" s="2">
        <v>5</v>
      </c>
      <c r="F4" s="2">
        <v>2</v>
      </c>
      <c r="G4" s="2">
        <v>2</v>
      </c>
      <c r="H4" s="2">
        <f>17+7+4</f>
        <v>28</v>
      </c>
      <c r="I4" s="2">
        <f>6+4+7</f>
        <v>17</v>
      </c>
      <c r="J4" s="2">
        <f t="shared" si="0"/>
        <v>12</v>
      </c>
      <c r="K4" s="4">
        <f t="shared" si="1"/>
        <v>3.1111111111111112</v>
      </c>
      <c r="L4" s="2">
        <v>2</v>
      </c>
      <c r="M4" s="4">
        <f t="shared" si="2"/>
        <v>1.8888888888888888</v>
      </c>
      <c r="N4" s="2"/>
      <c r="O4" s="5">
        <v>6</v>
      </c>
    </row>
    <row r="5" spans="1:15">
      <c r="A5" s="2">
        <v>3</v>
      </c>
      <c r="B5" s="2" t="s">
        <v>18</v>
      </c>
      <c r="C5" s="2" t="s">
        <v>19</v>
      </c>
      <c r="D5" s="2">
        <v>9</v>
      </c>
      <c r="E5" s="2">
        <v>6</v>
      </c>
      <c r="F5" s="2">
        <v>0</v>
      </c>
      <c r="G5" s="2">
        <v>3</v>
      </c>
      <c r="H5" s="2">
        <f>19+4+18</f>
        <v>41</v>
      </c>
      <c r="I5" s="2">
        <f>6+7+3</f>
        <v>16</v>
      </c>
      <c r="J5" s="2">
        <f t="shared" si="0"/>
        <v>12</v>
      </c>
      <c r="K5" s="4">
        <f t="shared" si="1"/>
        <v>4.5555555555555554</v>
      </c>
      <c r="L5" s="2">
        <v>2</v>
      </c>
      <c r="M5" s="4">
        <f t="shared" si="2"/>
        <v>1.7777777777777777</v>
      </c>
      <c r="N5" s="2"/>
      <c r="O5" s="5">
        <v>4</v>
      </c>
    </row>
    <row r="6" spans="1:15">
      <c r="A6" s="2">
        <v>4</v>
      </c>
      <c r="B6" s="2" t="s">
        <v>21</v>
      </c>
      <c r="C6" s="2" t="s">
        <v>22</v>
      </c>
      <c r="D6" s="2">
        <v>9</v>
      </c>
      <c r="E6" s="2">
        <v>2</v>
      </c>
      <c r="F6" s="2">
        <v>0</v>
      </c>
      <c r="G6" s="2">
        <v>7</v>
      </c>
      <c r="H6" s="2">
        <f>8+3</f>
        <v>11</v>
      </c>
      <c r="I6" s="2">
        <f>20+12+18</f>
        <v>50</v>
      </c>
      <c r="J6" s="2">
        <f t="shared" si="0"/>
        <v>4</v>
      </c>
      <c r="K6" s="4">
        <f t="shared" si="1"/>
        <v>1.2222222222222223</v>
      </c>
      <c r="L6" s="2">
        <v>1</v>
      </c>
      <c r="M6" s="4">
        <f t="shared" si="2"/>
        <v>5.5555555555555554</v>
      </c>
      <c r="N6" s="2"/>
      <c r="O6" s="5">
        <v>3</v>
      </c>
    </row>
    <row r="7" spans="1:15">
      <c r="A7" s="2">
        <v>5</v>
      </c>
      <c r="B7" s="2" t="s">
        <v>23</v>
      </c>
      <c r="C7" s="2" t="s">
        <v>22</v>
      </c>
      <c r="D7" s="2">
        <v>8</v>
      </c>
      <c r="E7" s="2">
        <v>3</v>
      </c>
      <c r="F7" s="2">
        <v>1</v>
      </c>
      <c r="G7" s="2">
        <v>4</v>
      </c>
      <c r="H7" s="2">
        <f>6+4</f>
        <v>10</v>
      </c>
      <c r="I7" s="2">
        <f>20</f>
        <v>20</v>
      </c>
      <c r="J7" s="2">
        <f t="shared" si="0"/>
        <v>7</v>
      </c>
      <c r="K7" s="4">
        <f t="shared" si="1"/>
        <v>1.25</v>
      </c>
      <c r="L7" s="2">
        <v>2</v>
      </c>
      <c r="M7" s="4">
        <f t="shared" si="2"/>
        <v>2.5</v>
      </c>
      <c r="N7" s="2"/>
      <c r="O7" s="5">
        <v>2</v>
      </c>
    </row>
    <row r="8" spans="1:15">
      <c r="A8" s="2">
        <v>6</v>
      </c>
      <c r="B8" s="2" t="s">
        <v>20</v>
      </c>
      <c r="C8" s="2" t="s">
        <v>19</v>
      </c>
      <c r="D8" s="2">
        <v>8</v>
      </c>
      <c r="E8" s="2">
        <v>0</v>
      </c>
      <c r="F8" s="2">
        <v>1</v>
      </c>
      <c r="G8" s="2">
        <v>7</v>
      </c>
      <c r="H8" s="2">
        <v>6</v>
      </c>
      <c r="I8" s="2">
        <v>24</v>
      </c>
      <c r="J8" s="2">
        <f t="shared" si="0"/>
        <v>1</v>
      </c>
      <c r="K8" s="4">
        <f t="shared" si="1"/>
        <v>0.75</v>
      </c>
      <c r="L8" s="2">
        <v>0</v>
      </c>
      <c r="M8" s="4">
        <f t="shared" si="2"/>
        <v>3</v>
      </c>
      <c r="N8" s="2"/>
      <c r="O8" s="5">
        <v>1</v>
      </c>
    </row>
    <row r="9" spans="1:15">
      <c r="D9">
        <f>SUM(D3:D8)/2</f>
        <v>26</v>
      </c>
      <c r="H9">
        <f>SUM(H3:H8)</f>
        <v>136</v>
      </c>
      <c r="I9">
        <f>SUM(I3:I8)</f>
        <v>136</v>
      </c>
    </row>
    <row r="10" spans="1:15">
      <c r="H10" s="3">
        <f>H9/D9</f>
        <v>5.2307692307692308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90" zoomScaleNormal="90" workbookViewId="0">
      <selection activeCell="I32" sqref="I32"/>
    </sheetView>
  </sheetViews>
  <sheetFormatPr defaultRowHeight="15"/>
  <sheetData>
    <row r="1" spans="1:15" ht="23.25">
      <c r="E1" s="1" t="s">
        <v>61</v>
      </c>
    </row>
    <row r="2" spans="1:1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13" t="s">
        <v>30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>
      <c r="A3" s="2">
        <v>1</v>
      </c>
      <c r="B3" s="2" t="s">
        <v>33</v>
      </c>
      <c r="C3" s="2" t="s">
        <v>34</v>
      </c>
      <c r="D3" s="2">
        <v>12</v>
      </c>
      <c r="E3" s="2">
        <v>8</v>
      </c>
      <c r="F3" s="2">
        <v>2</v>
      </c>
      <c r="G3" s="2">
        <v>2</v>
      </c>
      <c r="H3" s="2">
        <f>17+7+15+10</f>
        <v>49</v>
      </c>
      <c r="I3" s="2">
        <f>11+20</f>
        <v>31</v>
      </c>
      <c r="J3" s="2">
        <f>2*E3+F3</f>
        <v>18</v>
      </c>
      <c r="K3" s="4">
        <f>H3/D3</f>
        <v>4.083333333333333</v>
      </c>
      <c r="L3" s="2">
        <v>1</v>
      </c>
      <c r="M3" s="4">
        <f>I3/D3</f>
        <v>2.5833333333333335</v>
      </c>
      <c r="N3" s="2"/>
      <c r="O3" s="5">
        <v>18</v>
      </c>
    </row>
    <row r="4" spans="1:15">
      <c r="A4" s="2">
        <v>2</v>
      </c>
      <c r="B4" s="2" t="s">
        <v>16</v>
      </c>
      <c r="C4" s="2" t="s">
        <v>39</v>
      </c>
      <c r="D4" s="2">
        <v>11</v>
      </c>
      <c r="E4" s="2">
        <v>4</v>
      </c>
      <c r="F4" s="2">
        <v>6</v>
      </c>
      <c r="G4" s="2">
        <v>1</v>
      </c>
      <c r="H4" s="2">
        <f>12+7+4+6</f>
        <v>29</v>
      </c>
      <c r="I4" s="2">
        <f>8+3+2+10</f>
        <v>23</v>
      </c>
      <c r="J4" s="2">
        <f t="shared" ref="J4:J14" si="0">2*E4+F4</f>
        <v>14</v>
      </c>
      <c r="K4" s="4">
        <f t="shared" ref="K4:K14" si="1">H4/D4</f>
        <v>2.6363636363636362</v>
      </c>
      <c r="L4" s="2">
        <v>2</v>
      </c>
      <c r="M4" s="4">
        <f t="shared" ref="M4:M14" si="2">I4/D4</f>
        <v>2.0909090909090908</v>
      </c>
      <c r="N4" s="2"/>
      <c r="O4" s="5">
        <v>15</v>
      </c>
    </row>
    <row r="5" spans="1:15">
      <c r="A5" s="2">
        <v>3</v>
      </c>
      <c r="B5" s="2" t="s">
        <v>18</v>
      </c>
      <c r="C5" s="2" t="s">
        <v>19</v>
      </c>
      <c r="D5" s="2">
        <v>12</v>
      </c>
      <c r="E5" s="2">
        <v>9</v>
      </c>
      <c r="F5" s="2">
        <v>1</v>
      </c>
      <c r="G5" s="2">
        <v>2</v>
      </c>
      <c r="H5" s="2">
        <f>31+13+13+5</f>
        <v>62</v>
      </c>
      <c r="I5" s="2">
        <f>5+2+15+1</f>
        <v>23</v>
      </c>
      <c r="J5" s="2">
        <f t="shared" si="0"/>
        <v>19</v>
      </c>
      <c r="K5" s="4">
        <f t="shared" si="1"/>
        <v>5.166666666666667</v>
      </c>
      <c r="L5" s="2">
        <v>3</v>
      </c>
      <c r="M5" s="4">
        <f t="shared" si="2"/>
        <v>1.9166666666666667</v>
      </c>
      <c r="N5" s="2"/>
      <c r="O5" s="5">
        <v>13</v>
      </c>
    </row>
    <row r="6" spans="1:15">
      <c r="A6" s="2">
        <v>4</v>
      </c>
      <c r="B6" s="2" t="s">
        <v>14</v>
      </c>
      <c r="C6" s="2" t="s">
        <v>15</v>
      </c>
      <c r="D6" s="2">
        <v>11</v>
      </c>
      <c r="E6" s="2">
        <v>6</v>
      </c>
      <c r="F6" s="2">
        <v>3</v>
      </c>
      <c r="G6" s="2">
        <v>2</v>
      </c>
      <c r="H6" s="2">
        <f>18+8+2+1</f>
        <v>29</v>
      </c>
      <c r="I6" s="2">
        <f>5+2+4+5</f>
        <v>16</v>
      </c>
      <c r="J6" s="2">
        <f t="shared" si="0"/>
        <v>15</v>
      </c>
      <c r="K6" s="4">
        <f t="shared" si="1"/>
        <v>2.6363636363636362</v>
      </c>
      <c r="L6" s="2">
        <v>1</v>
      </c>
      <c r="M6" s="4">
        <f t="shared" si="2"/>
        <v>1.4545454545454546</v>
      </c>
      <c r="N6" s="2"/>
      <c r="O6" s="5">
        <v>11</v>
      </c>
    </row>
    <row r="7" spans="1:15">
      <c r="A7" s="2">
        <v>5</v>
      </c>
      <c r="B7" s="2" t="s">
        <v>16</v>
      </c>
      <c r="C7" s="2" t="s">
        <v>17</v>
      </c>
      <c r="D7" s="2">
        <v>10</v>
      </c>
      <c r="E7" s="2">
        <v>6</v>
      </c>
      <c r="F7" s="2">
        <v>2</v>
      </c>
      <c r="G7" s="2">
        <v>2</v>
      </c>
      <c r="H7" s="2">
        <f>18+3+13</f>
        <v>34</v>
      </c>
      <c r="I7" s="2">
        <f>8+7+3</f>
        <v>18</v>
      </c>
      <c r="J7" s="2">
        <f t="shared" si="0"/>
        <v>14</v>
      </c>
      <c r="K7" s="4">
        <f t="shared" si="1"/>
        <v>3.4</v>
      </c>
      <c r="L7" s="2">
        <v>2</v>
      </c>
      <c r="M7" s="4">
        <f t="shared" si="2"/>
        <v>1.8</v>
      </c>
      <c r="N7" s="2"/>
      <c r="O7" s="5">
        <v>9</v>
      </c>
    </row>
    <row r="8" spans="1:15">
      <c r="A8" s="2">
        <v>6</v>
      </c>
      <c r="B8" s="2" t="s">
        <v>23</v>
      </c>
      <c r="C8" s="2" t="s">
        <v>22</v>
      </c>
      <c r="D8" s="2">
        <v>10</v>
      </c>
      <c r="E8" s="2">
        <v>4</v>
      </c>
      <c r="F8" s="2">
        <v>0</v>
      </c>
      <c r="G8" s="2">
        <v>6</v>
      </c>
      <c r="H8" s="2">
        <f>8+2+5</f>
        <v>15</v>
      </c>
      <c r="I8" s="2">
        <f>7+13+10</f>
        <v>30</v>
      </c>
      <c r="J8" s="2">
        <f t="shared" si="0"/>
        <v>8</v>
      </c>
      <c r="K8" s="4">
        <f t="shared" si="1"/>
        <v>1.5</v>
      </c>
      <c r="L8" s="2">
        <v>3</v>
      </c>
      <c r="M8" s="4">
        <f t="shared" si="2"/>
        <v>3</v>
      </c>
      <c r="N8" s="2"/>
      <c r="O8" s="5">
        <v>7</v>
      </c>
    </row>
    <row r="9" spans="1:15">
      <c r="A9" s="2">
        <v>7</v>
      </c>
      <c r="B9" s="2" t="s">
        <v>56</v>
      </c>
      <c r="C9" s="2" t="s">
        <v>42</v>
      </c>
      <c r="D9" s="2">
        <v>10</v>
      </c>
      <c r="E9" s="2">
        <v>3</v>
      </c>
      <c r="F9" s="2">
        <v>2</v>
      </c>
      <c r="G9" s="2">
        <v>5</v>
      </c>
      <c r="H9" s="2">
        <f>14+1+5</f>
        <v>20</v>
      </c>
      <c r="I9" s="2">
        <f>13+7+5</f>
        <v>25</v>
      </c>
      <c r="J9" s="2">
        <f t="shared" si="0"/>
        <v>8</v>
      </c>
      <c r="K9" s="4">
        <f t="shared" si="1"/>
        <v>2</v>
      </c>
      <c r="L9" s="2">
        <v>1</v>
      </c>
      <c r="M9" s="4">
        <f t="shared" si="2"/>
        <v>2.5</v>
      </c>
      <c r="N9" s="2"/>
      <c r="O9" s="5">
        <v>6</v>
      </c>
    </row>
    <row r="10" spans="1:15">
      <c r="A10" s="2">
        <v>8</v>
      </c>
      <c r="B10" s="2" t="s">
        <v>21</v>
      </c>
      <c r="C10" s="2" t="s">
        <v>22</v>
      </c>
      <c r="D10" s="2">
        <v>10</v>
      </c>
      <c r="E10" s="2">
        <v>1</v>
      </c>
      <c r="F10" s="2">
        <v>1</v>
      </c>
      <c r="G10" s="2">
        <v>8</v>
      </c>
      <c r="H10" s="2">
        <f>9+2</f>
        <v>11</v>
      </c>
      <c r="I10" s="2">
        <f>20+8+8</f>
        <v>36</v>
      </c>
      <c r="J10" s="2">
        <f>2*E10+F10</f>
        <v>3</v>
      </c>
      <c r="K10" s="4">
        <f>H10/D10</f>
        <v>1.1000000000000001</v>
      </c>
      <c r="L10" s="2">
        <v>0</v>
      </c>
      <c r="M10" s="4">
        <f>I10/D10</f>
        <v>3.6</v>
      </c>
      <c r="N10" s="2"/>
      <c r="O10" s="5">
        <v>5</v>
      </c>
    </row>
    <row r="11" spans="1:15">
      <c r="A11" s="2">
        <v>9</v>
      </c>
      <c r="B11" s="2" t="s">
        <v>18</v>
      </c>
      <c r="C11" s="2" t="s">
        <v>62</v>
      </c>
      <c r="D11" s="2">
        <v>8</v>
      </c>
      <c r="E11" s="2">
        <v>2</v>
      </c>
      <c r="F11" s="2">
        <v>2</v>
      </c>
      <c r="G11" s="2">
        <v>4</v>
      </c>
      <c r="H11" s="2">
        <f>9+7</f>
        <v>16</v>
      </c>
      <c r="I11" s="2">
        <f>16+7</f>
        <v>23</v>
      </c>
      <c r="J11" s="2">
        <f t="shared" si="0"/>
        <v>6</v>
      </c>
      <c r="K11" s="4">
        <f t="shared" si="1"/>
        <v>2</v>
      </c>
      <c r="L11" s="2">
        <v>1</v>
      </c>
      <c r="M11" s="4">
        <f t="shared" si="2"/>
        <v>2.875</v>
      </c>
      <c r="N11" s="2"/>
      <c r="O11" s="5">
        <v>4</v>
      </c>
    </row>
    <row r="12" spans="1:15">
      <c r="A12" s="2">
        <v>10</v>
      </c>
      <c r="B12" s="2" t="s">
        <v>20</v>
      </c>
      <c r="C12" s="2" t="s">
        <v>19</v>
      </c>
      <c r="D12" s="2">
        <v>8</v>
      </c>
      <c r="E12" s="2">
        <v>1</v>
      </c>
      <c r="F12" s="2">
        <v>3</v>
      </c>
      <c r="G12" s="2">
        <v>4</v>
      </c>
      <c r="H12" s="2">
        <f>8+7</f>
        <v>15</v>
      </c>
      <c r="I12" s="2">
        <f>7+17</f>
        <v>24</v>
      </c>
      <c r="J12" s="2">
        <f t="shared" si="0"/>
        <v>5</v>
      </c>
      <c r="K12" s="4">
        <f t="shared" si="1"/>
        <v>1.875</v>
      </c>
      <c r="L12" s="2">
        <v>0</v>
      </c>
      <c r="M12" s="4">
        <f t="shared" si="2"/>
        <v>3</v>
      </c>
      <c r="N12" s="2"/>
      <c r="O12" s="5">
        <v>3</v>
      </c>
    </row>
    <row r="13" spans="1:15">
      <c r="A13" s="2">
        <v>11</v>
      </c>
      <c r="B13" s="2" t="s">
        <v>63</v>
      </c>
      <c r="C13" s="2" t="s">
        <v>62</v>
      </c>
      <c r="D13" s="2">
        <v>8</v>
      </c>
      <c r="E13" s="2">
        <v>2</v>
      </c>
      <c r="F13" s="2">
        <v>1</v>
      </c>
      <c r="G13" s="2">
        <v>5</v>
      </c>
      <c r="H13" s="2">
        <f>2+8</f>
        <v>10</v>
      </c>
      <c r="I13" s="2">
        <f>21+7</f>
        <v>28</v>
      </c>
      <c r="J13" s="2">
        <f t="shared" si="0"/>
        <v>5</v>
      </c>
      <c r="K13" s="4">
        <f t="shared" si="1"/>
        <v>1.25</v>
      </c>
      <c r="L13" s="2">
        <v>0</v>
      </c>
      <c r="M13" s="4">
        <f t="shared" si="2"/>
        <v>3.5</v>
      </c>
      <c r="N13" s="2"/>
      <c r="O13" s="5">
        <v>2</v>
      </c>
    </row>
    <row r="14" spans="1:15">
      <c r="A14" s="2">
        <v>12</v>
      </c>
      <c r="B14" s="2" t="s">
        <v>64</v>
      </c>
      <c r="C14" s="2" t="s">
        <v>65</v>
      </c>
      <c r="D14" s="2">
        <v>8</v>
      </c>
      <c r="E14" s="2">
        <v>1</v>
      </c>
      <c r="F14" s="2">
        <v>1</v>
      </c>
      <c r="G14" s="2">
        <v>6</v>
      </c>
      <c r="H14" s="2">
        <f>5+7</f>
        <v>12</v>
      </c>
      <c r="I14" s="2">
        <v>25</v>
      </c>
      <c r="J14" s="2">
        <f t="shared" si="0"/>
        <v>3</v>
      </c>
      <c r="K14" s="4">
        <f t="shared" si="1"/>
        <v>1.5</v>
      </c>
      <c r="L14" s="2">
        <v>0</v>
      </c>
      <c r="M14" s="4">
        <f t="shared" si="2"/>
        <v>3.125</v>
      </c>
      <c r="N14" s="2"/>
      <c r="O14" s="5">
        <v>1</v>
      </c>
    </row>
    <row r="15" spans="1:15">
      <c r="D15">
        <f>SUM(D3:D14)/2</f>
        <v>59</v>
      </c>
      <c r="H15">
        <f>SUM(H3:H14)</f>
        <v>302</v>
      </c>
      <c r="I15">
        <f>SUM(I3:I14)</f>
        <v>302</v>
      </c>
    </row>
    <row r="16" spans="1:15">
      <c r="G16" s="3">
        <f>H15/D15</f>
        <v>5.1186440677966099</v>
      </c>
    </row>
    <row r="18" spans="1:15" ht="23.25">
      <c r="E18" s="1" t="s">
        <v>67</v>
      </c>
    </row>
    <row r="19" spans="1:15">
      <c r="A19" s="6" t="s">
        <v>0</v>
      </c>
      <c r="B19" s="7" t="s">
        <v>1</v>
      </c>
      <c r="C19" s="6" t="s">
        <v>2</v>
      </c>
      <c r="D19" s="7" t="s">
        <v>3</v>
      </c>
      <c r="E19" s="6" t="s">
        <v>4</v>
      </c>
      <c r="F19" s="6" t="s">
        <v>5</v>
      </c>
      <c r="G19" s="6" t="s">
        <v>6</v>
      </c>
      <c r="H19" s="13" t="s">
        <v>7</v>
      </c>
      <c r="I19" s="13" t="s">
        <v>30</v>
      </c>
      <c r="J19" s="6" t="s">
        <v>8</v>
      </c>
      <c r="K19" s="6" t="s">
        <v>9</v>
      </c>
      <c r="L19" s="6" t="s">
        <v>10</v>
      </c>
      <c r="M19" s="6" t="s">
        <v>11</v>
      </c>
      <c r="N19" s="6" t="s">
        <v>12</v>
      </c>
      <c r="O19" s="6" t="s">
        <v>13</v>
      </c>
    </row>
    <row r="20" spans="1:15">
      <c r="A20" s="2">
        <v>1</v>
      </c>
      <c r="B20" s="2" t="s">
        <v>14</v>
      </c>
      <c r="C20" s="2" t="s">
        <v>15</v>
      </c>
      <c r="D20" s="2">
        <f>92+11</f>
        <v>103</v>
      </c>
      <c r="E20" s="2">
        <f>56+6</f>
        <v>62</v>
      </c>
      <c r="F20" s="2">
        <v>19</v>
      </c>
      <c r="G20" s="2">
        <v>22</v>
      </c>
      <c r="H20" s="2">
        <f>277+29</f>
        <v>306</v>
      </c>
      <c r="I20" s="2">
        <f>16+158</f>
        <v>174</v>
      </c>
      <c r="J20" s="2">
        <f>2*E20+F20</f>
        <v>143</v>
      </c>
      <c r="K20" s="4">
        <f>H20/D20</f>
        <v>2.970873786407767</v>
      </c>
      <c r="L20" s="2">
        <v>21</v>
      </c>
      <c r="M20" s="4">
        <f>I20/D20</f>
        <v>1.6893203883495145</v>
      </c>
      <c r="N20" s="4">
        <f>22/9</f>
        <v>2.4444444444444446</v>
      </c>
      <c r="O20" s="5">
        <f>11+79</f>
        <v>90</v>
      </c>
    </row>
    <row r="21" spans="1:15">
      <c r="A21" s="2">
        <v>2</v>
      </c>
      <c r="B21" s="2" t="s">
        <v>36</v>
      </c>
      <c r="C21" s="2" t="s">
        <v>19</v>
      </c>
      <c r="D21" s="2">
        <v>112</v>
      </c>
      <c r="E21" s="2">
        <v>63</v>
      </c>
      <c r="F21" s="2">
        <v>16</v>
      </c>
      <c r="G21" s="2">
        <v>33</v>
      </c>
      <c r="H21" s="2">
        <f>62+347</f>
        <v>409</v>
      </c>
      <c r="I21" s="2">
        <f>23+187</f>
        <v>210</v>
      </c>
      <c r="J21" s="2">
        <f t="shared" ref="J21:J34" si="3">2*E21+F21</f>
        <v>142</v>
      </c>
      <c r="K21" s="4">
        <f t="shared" ref="K21:K35" si="4">H21/D21</f>
        <v>3.6517857142857144</v>
      </c>
      <c r="L21" s="2">
        <v>26</v>
      </c>
      <c r="M21" s="4">
        <f t="shared" ref="M21:M35" si="5">I21/D21</f>
        <v>1.875</v>
      </c>
      <c r="N21" s="4">
        <f>30/10</f>
        <v>3</v>
      </c>
      <c r="O21" s="5">
        <f>13+71</f>
        <v>84</v>
      </c>
    </row>
    <row r="22" spans="1:15">
      <c r="A22" s="2">
        <v>3</v>
      </c>
      <c r="B22" s="9" t="s">
        <v>32</v>
      </c>
      <c r="C22" s="9" t="s">
        <v>17</v>
      </c>
      <c r="D22" s="2">
        <v>80</v>
      </c>
      <c r="E22" s="2">
        <v>52</v>
      </c>
      <c r="F22" s="2">
        <v>9</v>
      </c>
      <c r="G22" s="2">
        <v>19</v>
      </c>
      <c r="H22" s="2">
        <f>39+231</f>
        <v>270</v>
      </c>
      <c r="I22" s="2">
        <f>135+13</f>
        <v>148</v>
      </c>
      <c r="J22" s="2">
        <f t="shared" si="3"/>
        <v>113</v>
      </c>
      <c r="K22" s="4">
        <f t="shared" si="4"/>
        <v>3.375</v>
      </c>
      <c r="L22" s="2">
        <v>20</v>
      </c>
      <c r="M22" s="4">
        <f t="shared" si="5"/>
        <v>1.85</v>
      </c>
      <c r="N22" s="4">
        <f>20/7</f>
        <v>2.8571428571428572</v>
      </c>
      <c r="O22" s="5">
        <f>54+12</f>
        <v>66</v>
      </c>
    </row>
    <row r="23" spans="1:15">
      <c r="A23" s="2">
        <v>4</v>
      </c>
      <c r="B23" s="9" t="s">
        <v>16</v>
      </c>
      <c r="C23" s="9" t="s">
        <v>39</v>
      </c>
      <c r="D23" s="2">
        <f>49+11</f>
        <v>60</v>
      </c>
      <c r="E23" s="9">
        <v>32</v>
      </c>
      <c r="F23" s="9">
        <v>17</v>
      </c>
      <c r="G23" s="9">
        <v>11</v>
      </c>
      <c r="H23" s="2">
        <f>165+29</f>
        <v>194</v>
      </c>
      <c r="I23" s="2">
        <f>23+116</f>
        <v>139</v>
      </c>
      <c r="J23" s="2">
        <f>2*E23+F23</f>
        <v>81</v>
      </c>
      <c r="K23" s="4">
        <f>H23/D23</f>
        <v>3.2333333333333334</v>
      </c>
      <c r="L23" s="9">
        <v>7</v>
      </c>
      <c r="M23" s="4">
        <f>I23/D23</f>
        <v>2.3166666666666669</v>
      </c>
      <c r="N23" s="4">
        <f>12/5</f>
        <v>2.4</v>
      </c>
      <c r="O23" s="5">
        <f>42+15</f>
        <v>57</v>
      </c>
    </row>
    <row r="24" spans="1:15">
      <c r="A24" s="2">
        <v>5</v>
      </c>
      <c r="B24" s="9" t="s">
        <v>16</v>
      </c>
      <c r="C24" s="9" t="s">
        <v>17</v>
      </c>
      <c r="D24" s="2">
        <v>103</v>
      </c>
      <c r="E24" s="9">
        <v>58</v>
      </c>
      <c r="F24" s="9">
        <v>14</v>
      </c>
      <c r="G24" s="9">
        <v>31</v>
      </c>
      <c r="H24" s="2">
        <f>261+34</f>
        <v>295</v>
      </c>
      <c r="I24" s="2">
        <f>178+18</f>
        <v>196</v>
      </c>
      <c r="J24" s="2">
        <f>2*E24+F24</f>
        <v>130</v>
      </c>
      <c r="K24" s="4">
        <f>H24/D24</f>
        <v>2.8640776699029127</v>
      </c>
      <c r="L24" s="9">
        <v>26</v>
      </c>
      <c r="M24" s="4">
        <f>I24/D24</f>
        <v>1.9029126213592233</v>
      </c>
      <c r="N24" s="4">
        <f>46/10</f>
        <v>4.5999999999999996</v>
      </c>
      <c r="O24" s="5">
        <f>47+9</f>
        <v>56</v>
      </c>
    </row>
    <row r="25" spans="1:15">
      <c r="A25" s="2">
        <v>6</v>
      </c>
      <c r="B25" s="2" t="s">
        <v>26</v>
      </c>
      <c r="C25" s="2" t="s">
        <v>27</v>
      </c>
      <c r="D25" s="9">
        <v>63</v>
      </c>
      <c r="E25" s="9">
        <v>25</v>
      </c>
      <c r="F25" s="9">
        <v>13</v>
      </c>
      <c r="G25" s="9">
        <v>25</v>
      </c>
      <c r="H25" s="2">
        <f>118+23</f>
        <v>141</v>
      </c>
      <c r="I25" s="2">
        <f>113+24</f>
        <v>137</v>
      </c>
      <c r="J25" s="2">
        <f t="shared" si="3"/>
        <v>63</v>
      </c>
      <c r="K25" s="4">
        <f t="shared" si="4"/>
        <v>2.2380952380952381</v>
      </c>
      <c r="L25" s="9">
        <v>13</v>
      </c>
      <c r="M25" s="4">
        <f t="shared" si="5"/>
        <v>2.1746031746031744</v>
      </c>
      <c r="N25" s="4">
        <f>24/6</f>
        <v>4</v>
      </c>
      <c r="O25" s="5">
        <v>37</v>
      </c>
    </row>
    <row r="26" spans="1:15">
      <c r="A26" s="2">
        <v>7</v>
      </c>
      <c r="B26" s="9" t="s">
        <v>66</v>
      </c>
      <c r="C26" s="9" t="s">
        <v>22</v>
      </c>
      <c r="D26" s="9">
        <v>87</v>
      </c>
      <c r="E26" s="9">
        <v>22</v>
      </c>
      <c r="F26" s="9">
        <v>10</v>
      </c>
      <c r="G26" s="9">
        <v>55</v>
      </c>
      <c r="H26" s="2">
        <f>96+15</f>
        <v>111</v>
      </c>
      <c r="I26" s="2">
        <f>30+234</f>
        <v>264</v>
      </c>
      <c r="J26" s="2">
        <f t="shared" si="3"/>
        <v>54</v>
      </c>
      <c r="K26" s="4">
        <f t="shared" si="4"/>
        <v>1.2758620689655173</v>
      </c>
      <c r="L26" s="9">
        <v>13</v>
      </c>
      <c r="M26" s="4">
        <f t="shared" si="5"/>
        <v>3.0344827586206895</v>
      </c>
      <c r="N26" s="4">
        <f>60/9</f>
        <v>6.666666666666667</v>
      </c>
      <c r="O26" s="5">
        <v>28</v>
      </c>
    </row>
    <row r="27" spans="1:15">
      <c r="A27" s="2">
        <v>8</v>
      </c>
      <c r="B27" s="9" t="s">
        <v>33</v>
      </c>
      <c r="C27" s="9" t="s">
        <v>34</v>
      </c>
      <c r="D27" s="2">
        <v>24</v>
      </c>
      <c r="E27" s="9">
        <v>15</v>
      </c>
      <c r="F27" s="9">
        <v>3</v>
      </c>
      <c r="G27" s="9">
        <v>6</v>
      </c>
      <c r="H27" s="2">
        <f>42+49</f>
        <v>91</v>
      </c>
      <c r="I27" s="2">
        <f>31+31</f>
        <v>62</v>
      </c>
      <c r="J27" s="2">
        <f>2*E27+F27</f>
        <v>33</v>
      </c>
      <c r="K27" s="4">
        <f>H27/D27</f>
        <v>3.7916666666666665</v>
      </c>
      <c r="L27" s="9">
        <v>2</v>
      </c>
      <c r="M27" s="4">
        <f>I27/D27</f>
        <v>2.5833333333333335</v>
      </c>
      <c r="N27" s="4">
        <f>5/2</f>
        <v>2.5</v>
      </c>
      <c r="O27" s="5">
        <f>18+4</f>
        <v>22</v>
      </c>
    </row>
    <row r="28" spans="1:15">
      <c r="A28" s="2">
        <v>9</v>
      </c>
      <c r="B28" s="9" t="s">
        <v>21</v>
      </c>
      <c r="C28" s="9" t="s">
        <v>22</v>
      </c>
      <c r="D28" s="9">
        <v>86</v>
      </c>
      <c r="E28" s="9">
        <v>20</v>
      </c>
      <c r="F28" s="9">
        <v>7</v>
      </c>
      <c r="G28" s="9">
        <v>59</v>
      </c>
      <c r="H28" s="2">
        <f>112+11</f>
        <v>123</v>
      </c>
      <c r="I28" s="2">
        <f>36+274</f>
        <v>310</v>
      </c>
      <c r="J28" s="2">
        <f>2*E28+F28</f>
        <v>47</v>
      </c>
      <c r="K28" s="4">
        <f>H28/D28</f>
        <v>1.430232558139535</v>
      </c>
      <c r="L28" s="9">
        <v>7</v>
      </c>
      <c r="M28" s="4">
        <f>I28/D28</f>
        <v>3.6046511627906979</v>
      </c>
      <c r="N28" s="4">
        <f>65/9</f>
        <v>7.2222222222222223</v>
      </c>
      <c r="O28" s="5">
        <f>16+5</f>
        <v>21</v>
      </c>
    </row>
    <row r="29" spans="1:15">
      <c r="A29" s="2">
        <v>10</v>
      </c>
      <c r="B29" s="9" t="s">
        <v>41</v>
      </c>
      <c r="C29" s="9" t="s">
        <v>42</v>
      </c>
      <c r="D29" s="9">
        <v>40</v>
      </c>
      <c r="E29" s="9">
        <v>10</v>
      </c>
      <c r="F29" s="9">
        <v>7</v>
      </c>
      <c r="G29" s="9">
        <v>23</v>
      </c>
      <c r="H29" s="2">
        <f>20+49</f>
        <v>69</v>
      </c>
      <c r="I29" s="2">
        <f>71+25</f>
        <v>96</v>
      </c>
      <c r="J29" s="2">
        <f>2*E29+F29</f>
        <v>27</v>
      </c>
      <c r="K29" s="4">
        <f>H29/D29</f>
        <v>1.7250000000000001</v>
      </c>
      <c r="L29" s="9">
        <v>6</v>
      </c>
      <c r="M29" s="4">
        <f>I29/D29</f>
        <v>2.4</v>
      </c>
      <c r="N29" s="4">
        <f>26/4</f>
        <v>6.5</v>
      </c>
      <c r="O29" s="5">
        <v>20</v>
      </c>
    </row>
    <row r="30" spans="1:15">
      <c r="A30" s="2">
        <v>11</v>
      </c>
      <c r="B30" s="2" t="s">
        <v>49</v>
      </c>
      <c r="C30" s="2" t="s">
        <v>50</v>
      </c>
      <c r="D30" s="2">
        <v>12</v>
      </c>
      <c r="E30" s="2">
        <v>9</v>
      </c>
      <c r="F30" s="2">
        <v>2</v>
      </c>
      <c r="G30" s="2">
        <v>1</v>
      </c>
      <c r="H30" s="2">
        <f>14+5+9+9</f>
        <v>37</v>
      </c>
      <c r="I30" s="2">
        <f>2+2+8+5</f>
        <v>17</v>
      </c>
      <c r="J30" s="2">
        <f>2*E30+F30</f>
        <v>20</v>
      </c>
      <c r="K30" s="4">
        <f>H30/D30</f>
        <v>3.0833333333333335</v>
      </c>
      <c r="L30" s="2">
        <v>4</v>
      </c>
      <c r="M30" s="4">
        <f>I30/D30</f>
        <v>1.4166666666666667</v>
      </c>
      <c r="N30" s="4">
        <f>1/1</f>
        <v>1</v>
      </c>
      <c r="O30" s="5">
        <v>17</v>
      </c>
    </row>
    <row r="31" spans="1:15">
      <c r="A31" s="2">
        <v>12</v>
      </c>
      <c r="B31" s="9" t="s">
        <v>20</v>
      </c>
      <c r="C31" s="9" t="s">
        <v>19</v>
      </c>
      <c r="D31" s="2">
        <f>88+8</f>
        <v>96</v>
      </c>
      <c r="E31" s="9">
        <v>5</v>
      </c>
      <c r="F31" s="9">
        <v>11</v>
      </c>
      <c r="G31" s="9">
        <v>80</v>
      </c>
      <c r="H31" s="2">
        <f>15+70</f>
        <v>85</v>
      </c>
      <c r="I31" s="2">
        <f>312+24</f>
        <v>336</v>
      </c>
      <c r="J31" s="2">
        <f>2*E31+F31</f>
        <v>21</v>
      </c>
      <c r="K31" s="4">
        <f>H31/D31</f>
        <v>0.88541666666666663</v>
      </c>
      <c r="L31" s="9">
        <v>2</v>
      </c>
      <c r="M31" s="4">
        <f>I31/D31</f>
        <v>3.5</v>
      </c>
      <c r="N31" s="4">
        <f>80/10</f>
        <v>8</v>
      </c>
      <c r="O31" s="5">
        <v>16</v>
      </c>
    </row>
    <row r="32" spans="1:15">
      <c r="A32" s="2">
        <v>13</v>
      </c>
      <c r="B32" s="2" t="s">
        <v>23</v>
      </c>
      <c r="C32" s="2" t="s">
        <v>46</v>
      </c>
      <c r="D32" s="2">
        <v>12</v>
      </c>
      <c r="E32" s="2">
        <v>4</v>
      </c>
      <c r="F32" s="2">
        <v>3</v>
      </c>
      <c r="G32" s="2">
        <v>5</v>
      </c>
      <c r="H32" s="2">
        <f>10+10</f>
        <v>20</v>
      </c>
      <c r="I32" s="2">
        <f>16+8</f>
        <v>24</v>
      </c>
      <c r="J32" s="2">
        <f t="shared" ref="J32" si="6">E32*2+F32</f>
        <v>11</v>
      </c>
      <c r="K32" s="4">
        <f>H32/D32</f>
        <v>1.6666666666666667</v>
      </c>
      <c r="L32" s="2">
        <v>1</v>
      </c>
      <c r="M32" s="4">
        <f>I32/D32</f>
        <v>2</v>
      </c>
      <c r="N32" s="4">
        <f>6/1</f>
        <v>6</v>
      </c>
      <c r="O32" s="5">
        <v>4</v>
      </c>
    </row>
    <row r="33" spans="1:15">
      <c r="A33" s="2">
        <v>14</v>
      </c>
      <c r="B33" s="2" t="s">
        <v>18</v>
      </c>
      <c r="C33" s="2" t="s">
        <v>62</v>
      </c>
      <c r="D33" s="2">
        <v>8</v>
      </c>
      <c r="E33" s="2">
        <v>2</v>
      </c>
      <c r="F33" s="2">
        <v>2</v>
      </c>
      <c r="G33" s="2">
        <v>4</v>
      </c>
      <c r="H33" s="2">
        <f>9+7</f>
        <v>16</v>
      </c>
      <c r="I33" s="2">
        <f>16+7</f>
        <v>23</v>
      </c>
      <c r="J33" s="2">
        <f>2*E33+F33</f>
        <v>6</v>
      </c>
      <c r="K33" s="4">
        <f>H33/D33</f>
        <v>2</v>
      </c>
      <c r="L33" s="2">
        <v>1</v>
      </c>
      <c r="M33" s="4">
        <f>I33/D33</f>
        <v>2.875</v>
      </c>
      <c r="N33" s="4">
        <f>9/1</f>
        <v>9</v>
      </c>
      <c r="O33" s="5">
        <v>4</v>
      </c>
    </row>
    <row r="34" spans="1:15">
      <c r="A34" s="2">
        <v>15</v>
      </c>
      <c r="B34" s="2" t="s">
        <v>63</v>
      </c>
      <c r="C34" s="2" t="s">
        <v>62</v>
      </c>
      <c r="D34" s="2">
        <v>8</v>
      </c>
      <c r="E34" s="2">
        <v>2</v>
      </c>
      <c r="F34" s="2">
        <v>1</v>
      </c>
      <c r="G34" s="2">
        <v>5</v>
      </c>
      <c r="H34" s="2">
        <f>2+8</f>
        <v>10</v>
      </c>
      <c r="I34" s="2">
        <f>21+7</f>
        <v>28</v>
      </c>
      <c r="J34" s="2">
        <f>2*E34+F34</f>
        <v>5</v>
      </c>
      <c r="K34" s="4">
        <f>H34/D34</f>
        <v>1.25</v>
      </c>
      <c r="L34" s="2">
        <v>0</v>
      </c>
      <c r="M34" s="4">
        <f>I34/D34</f>
        <v>3.5</v>
      </c>
      <c r="N34" s="4">
        <f>11/1</f>
        <v>11</v>
      </c>
      <c r="O34" s="5">
        <v>2</v>
      </c>
    </row>
    <row r="35" spans="1:15">
      <c r="A35" s="2">
        <v>16</v>
      </c>
      <c r="B35" s="2" t="s">
        <v>64</v>
      </c>
      <c r="C35" s="2" t="s">
        <v>65</v>
      </c>
      <c r="D35" s="2">
        <v>8</v>
      </c>
      <c r="E35" s="2">
        <v>1</v>
      </c>
      <c r="F35" s="2">
        <v>1</v>
      </c>
      <c r="G35" s="2">
        <v>6</v>
      </c>
      <c r="H35" s="2">
        <f>5+7</f>
        <v>12</v>
      </c>
      <c r="I35" s="2">
        <v>25</v>
      </c>
      <c r="J35" s="2">
        <f>2*E35+F35</f>
        <v>3</v>
      </c>
      <c r="K35" s="4">
        <f>H35/D35</f>
        <v>1.5</v>
      </c>
      <c r="L35" s="2">
        <v>0</v>
      </c>
      <c r="M35" s="4">
        <f>I35/D35</f>
        <v>3.125</v>
      </c>
      <c r="N35" s="4">
        <f>12/1</f>
        <v>12</v>
      </c>
      <c r="O35" s="5">
        <v>1</v>
      </c>
    </row>
    <row r="36" spans="1:15">
      <c r="D36">
        <f>SUM(D20:D35)/2</f>
        <v>451</v>
      </c>
      <c r="H36">
        <f>SUM(H20:H35)</f>
        <v>2189</v>
      </c>
      <c r="I36">
        <f>SUM(I20:I35)</f>
        <v>2189</v>
      </c>
    </row>
    <row r="37" spans="1:15">
      <c r="G37" s="3">
        <f>H36/D36</f>
        <v>4.8536585365853657</v>
      </c>
    </row>
  </sheetData>
  <pageMargins left="0.7" right="0.7" top="0.78740157499999996" bottom="0.78740157499999996" header="0.3" footer="0.3"/>
  <ignoredErrors>
    <ignoredError sqref="J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A14" sqref="A14:O20"/>
    </sheetView>
  </sheetViews>
  <sheetFormatPr defaultRowHeight="15"/>
  <sheetData>
    <row r="1" spans="1:15" ht="23.25">
      <c r="E1" s="1" t="s">
        <v>25</v>
      </c>
    </row>
    <row r="2" spans="1:1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13" t="s">
        <v>30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>
      <c r="A3" s="2">
        <v>1</v>
      </c>
      <c r="B3" s="2" t="s">
        <v>18</v>
      </c>
      <c r="C3" s="2" t="s">
        <v>19</v>
      </c>
      <c r="D3" s="2">
        <v>10</v>
      </c>
      <c r="E3" s="2">
        <v>6</v>
      </c>
      <c r="F3" s="2">
        <v>3</v>
      </c>
      <c r="G3" s="2">
        <v>1</v>
      </c>
      <c r="H3" s="2">
        <f>15+9+7</f>
        <v>31</v>
      </c>
      <c r="I3" s="2">
        <f>1+1+4</f>
        <v>6</v>
      </c>
      <c r="J3" s="2">
        <f t="shared" ref="J3:J8" si="0">E3*2+F3</f>
        <v>15</v>
      </c>
      <c r="K3" s="4">
        <f t="shared" ref="K3:K8" si="1">H3/D3</f>
        <v>3.1</v>
      </c>
      <c r="L3" s="2">
        <v>5</v>
      </c>
      <c r="M3" s="4">
        <f t="shared" ref="M3:M8" si="2">I3/D3</f>
        <v>0.6</v>
      </c>
      <c r="N3" s="2"/>
      <c r="O3" s="5">
        <v>9</v>
      </c>
    </row>
    <row r="4" spans="1:15">
      <c r="A4" s="2">
        <v>2</v>
      </c>
      <c r="B4" s="2" t="s">
        <v>26</v>
      </c>
      <c r="C4" s="2" t="s">
        <v>27</v>
      </c>
      <c r="D4" s="2">
        <v>10</v>
      </c>
      <c r="E4" s="2">
        <v>4</v>
      </c>
      <c r="F4" s="2">
        <v>5</v>
      </c>
      <c r="G4" s="2">
        <v>1</v>
      </c>
      <c r="H4" s="2">
        <f>15+7+4</f>
        <v>26</v>
      </c>
      <c r="I4" s="2">
        <f>4+4+7</f>
        <v>15</v>
      </c>
      <c r="J4" s="2">
        <f t="shared" si="0"/>
        <v>13</v>
      </c>
      <c r="K4" s="4">
        <f t="shared" si="1"/>
        <v>2.6</v>
      </c>
      <c r="L4" s="2">
        <v>2</v>
      </c>
      <c r="M4" s="4">
        <f t="shared" si="2"/>
        <v>1.5</v>
      </c>
      <c r="N4" s="2"/>
      <c r="O4" s="5">
        <v>6</v>
      </c>
    </row>
    <row r="5" spans="1:15" s="11" customFormat="1">
      <c r="A5" s="9">
        <v>3</v>
      </c>
      <c r="B5" s="9" t="s">
        <v>16</v>
      </c>
      <c r="C5" s="9" t="s">
        <v>17</v>
      </c>
      <c r="D5" s="9">
        <v>9</v>
      </c>
      <c r="E5" s="9">
        <v>4</v>
      </c>
      <c r="F5" s="9">
        <v>4</v>
      </c>
      <c r="G5" s="9">
        <v>1</v>
      </c>
      <c r="H5" s="9">
        <f>17+4+7</f>
        <v>28</v>
      </c>
      <c r="I5" s="9">
        <f>6+7+3</f>
        <v>16</v>
      </c>
      <c r="J5" s="9">
        <f t="shared" si="0"/>
        <v>12</v>
      </c>
      <c r="K5" s="10">
        <f t="shared" si="1"/>
        <v>3.1111111111111112</v>
      </c>
      <c r="L5" s="9">
        <v>1</v>
      </c>
      <c r="M5" s="10">
        <f t="shared" si="2"/>
        <v>1.7777777777777777</v>
      </c>
      <c r="N5" s="9"/>
      <c r="O5" s="5">
        <v>4</v>
      </c>
    </row>
    <row r="6" spans="1:15" s="11" customFormat="1">
      <c r="A6" s="9">
        <v>4</v>
      </c>
      <c r="B6" s="9" t="s">
        <v>23</v>
      </c>
      <c r="C6" s="9" t="s">
        <v>22</v>
      </c>
      <c r="D6" s="9">
        <v>9</v>
      </c>
      <c r="E6" s="9">
        <v>2</v>
      </c>
      <c r="F6" s="9">
        <v>2</v>
      </c>
      <c r="G6" s="9">
        <v>5</v>
      </c>
      <c r="H6" s="9">
        <f>9+4</f>
        <v>13</v>
      </c>
      <c r="I6" s="9">
        <f>10+9+7</f>
        <v>26</v>
      </c>
      <c r="J6" s="9">
        <f t="shared" si="0"/>
        <v>6</v>
      </c>
      <c r="K6" s="10">
        <f t="shared" si="1"/>
        <v>1.4444444444444444</v>
      </c>
      <c r="L6" s="9">
        <v>1</v>
      </c>
      <c r="M6" s="10">
        <f t="shared" si="2"/>
        <v>2.8888888888888888</v>
      </c>
      <c r="N6" s="9"/>
      <c r="O6" s="5">
        <v>3</v>
      </c>
    </row>
    <row r="7" spans="1:15" s="11" customFormat="1">
      <c r="A7" s="9">
        <v>5</v>
      </c>
      <c r="B7" s="9" t="s">
        <v>21</v>
      </c>
      <c r="C7" s="9" t="s">
        <v>22</v>
      </c>
      <c r="D7" s="9">
        <v>8</v>
      </c>
      <c r="E7" s="9">
        <v>3</v>
      </c>
      <c r="F7" s="9">
        <v>0</v>
      </c>
      <c r="G7" s="9">
        <v>5</v>
      </c>
      <c r="H7" s="9">
        <f>10+10</f>
        <v>20</v>
      </c>
      <c r="I7" s="9">
        <f>6+24</f>
        <v>30</v>
      </c>
      <c r="J7" s="9">
        <f t="shared" si="0"/>
        <v>6</v>
      </c>
      <c r="K7" s="10">
        <f t="shared" si="1"/>
        <v>2.5</v>
      </c>
      <c r="L7" s="9">
        <v>1</v>
      </c>
      <c r="M7" s="10">
        <f t="shared" si="2"/>
        <v>3.75</v>
      </c>
      <c r="N7" s="9"/>
      <c r="O7" s="5">
        <v>2</v>
      </c>
    </row>
    <row r="8" spans="1:15">
      <c r="A8" s="2">
        <v>6</v>
      </c>
      <c r="B8" s="2" t="s">
        <v>20</v>
      </c>
      <c r="C8" s="2" t="s">
        <v>19</v>
      </c>
      <c r="D8" s="2">
        <v>8</v>
      </c>
      <c r="E8" s="2">
        <v>1</v>
      </c>
      <c r="F8" s="2">
        <v>0</v>
      </c>
      <c r="G8" s="2">
        <v>7</v>
      </c>
      <c r="H8" s="2">
        <v>6</v>
      </c>
      <c r="I8" s="2">
        <v>31</v>
      </c>
      <c r="J8" s="2">
        <f t="shared" si="0"/>
        <v>2</v>
      </c>
      <c r="K8" s="4">
        <f t="shared" si="1"/>
        <v>0.75</v>
      </c>
      <c r="L8" s="2">
        <v>0</v>
      </c>
      <c r="M8" s="4">
        <f t="shared" si="2"/>
        <v>3.875</v>
      </c>
      <c r="N8" s="2"/>
      <c r="O8" s="5">
        <v>1</v>
      </c>
    </row>
    <row r="9" spans="1:15">
      <c r="D9">
        <f>SUM(D3:D8)/2</f>
        <v>27</v>
      </c>
      <c r="H9">
        <f>SUM(H3:H8)</f>
        <v>124</v>
      </c>
      <c r="I9">
        <f>SUM(I3:I8)</f>
        <v>124</v>
      </c>
    </row>
    <row r="10" spans="1:15">
      <c r="H10" s="8">
        <f>H9/D9</f>
        <v>4.5925925925925926</v>
      </c>
    </row>
    <row r="12" spans="1:15" ht="23.25">
      <c r="E12" s="1" t="s">
        <v>28</v>
      </c>
    </row>
    <row r="13" spans="1:15">
      <c r="A13" s="6" t="s">
        <v>0</v>
      </c>
      <c r="B13" s="7" t="s">
        <v>1</v>
      </c>
      <c r="C13" s="6" t="s">
        <v>2</v>
      </c>
      <c r="D13" s="7" t="s">
        <v>3</v>
      </c>
      <c r="E13" s="6" t="s">
        <v>4</v>
      </c>
      <c r="F13" s="6" t="s">
        <v>5</v>
      </c>
      <c r="G13" s="6" t="s">
        <v>6</v>
      </c>
      <c r="H13" s="13" t="s">
        <v>7</v>
      </c>
      <c r="I13" s="13" t="s">
        <v>30</v>
      </c>
      <c r="J13" s="6" t="s">
        <v>8</v>
      </c>
      <c r="K13" s="6" t="s">
        <v>9</v>
      </c>
      <c r="L13" s="6" t="s">
        <v>10</v>
      </c>
      <c r="M13" s="6" t="s">
        <v>11</v>
      </c>
      <c r="N13" s="6" t="s">
        <v>12</v>
      </c>
      <c r="O13" s="6" t="s">
        <v>13</v>
      </c>
    </row>
    <row r="14" spans="1:15">
      <c r="A14" s="2">
        <v>1</v>
      </c>
      <c r="B14" s="2" t="s">
        <v>18</v>
      </c>
      <c r="C14" s="2" t="s">
        <v>19</v>
      </c>
      <c r="D14" s="2">
        <f>10+9</f>
        <v>19</v>
      </c>
      <c r="E14" s="2">
        <v>12</v>
      </c>
      <c r="F14" s="2">
        <v>3</v>
      </c>
      <c r="G14" s="2">
        <v>4</v>
      </c>
      <c r="H14" s="2">
        <f>31+41</f>
        <v>72</v>
      </c>
      <c r="I14" s="2">
        <f>16+6</f>
        <v>22</v>
      </c>
      <c r="J14" s="2">
        <f t="shared" ref="J14:J20" si="3">E14*2+F14</f>
        <v>27</v>
      </c>
      <c r="K14" s="4">
        <f t="shared" ref="K14:K20" si="4">H14/D14</f>
        <v>3.7894736842105261</v>
      </c>
      <c r="L14" s="2">
        <v>7</v>
      </c>
      <c r="M14" s="4">
        <f t="shared" ref="M14:M20" si="5">I14/D14</f>
        <v>1.1578947368421053</v>
      </c>
      <c r="N14" s="12">
        <f>4/2</f>
        <v>2</v>
      </c>
      <c r="O14" s="5">
        <v>13</v>
      </c>
    </row>
    <row r="15" spans="1:15">
      <c r="A15" s="2">
        <v>2</v>
      </c>
      <c r="B15" s="2" t="s">
        <v>16</v>
      </c>
      <c r="C15" s="2" t="s">
        <v>17</v>
      </c>
      <c r="D15" s="2">
        <v>18</v>
      </c>
      <c r="E15" s="2">
        <v>11</v>
      </c>
      <c r="F15" s="2">
        <v>6</v>
      </c>
      <c r="G15" s="2">
        <v>1</v>
      </c>
      <c r="H15" s="2">
        <f>40+28</f>
        <v>68</v>
      </c>
      <c r="I15" s="2">
        <f>16+9</f>
        <v>25</v>
      </c>
      <c r="J15" s="2">
        <f t="shared" si="3"/>
        <v>28</v>
      </c>
      <c r="K15" s="4">
        <f t="shared" si="4"/>
        <v>3.7777777777777777</v>
      </c>
      <c r="L15" s="2">
        <v>4</v>
      </c>
      <c r="M15" s="4">
        <f t="shared" si="5"/>
        <v>1.3888888888888888</v>
      </c>
      <c r="N15" s="12">
        <f>4/2</f>
        <v>2</v>
      </c>
      <c r="O15" s="5">
        <v>13</v>
      </c>
    </row>
    <row r="16" spans="1:15">
      <c r="A16" s="2">
        <v>3</v>
      </c>
      <c r="B16" s="9" t="s">
        <v>29</v>
      </c>
      <c r="C16" s="9" t="s">
        <v>15</v>
      </c>
      <c r="D16" s="2">
        <v>9</v>
      </c>
      <c r="E16" s="2">
        <v>5</v>
      </c>
      <c r="F16" s="2">
        <v>2</v>
      </c>
      <c r="G16" s="2">
        <v>2</v>
      </c>
      <c r="H16" s="2">
        <f>17+7+4</f>
        <v>28</v>
      </c>
      <c r="I16" s="2">
        <f>6+4+7</f>
        <v>17</v>
      </c>
      <c r="J16" s="2">
        <f t="shared" si="3"/>
        <v>12</v>
      </c>
      <c r="K16" s="4">
        <f t="shared" si="4"/>
        <v>3.1111111111111112</v>
      </c>
      <c r="L16" s="2">
        <v>2</v>
      </c>
      <c r="M16" s="4">
        <f t="shared" si="5"/>
        <v>1.8888888888888888</v>
      </c>
      <c r="N16" s="12">
        <f>2/1</f>
        <v>2</v>
      </c>
      <c r="O16" s="5">
        <v>6</v>
      </c>
    </row>
    <row r="17" spans="1:15">
      <c r="A17" s="2">
        <v>4</v>
      </c>
      <c r="B17" s="2" t="s">
        <v>26</v>
      </c>
      <c r="C17" s="2" t="s">
        <v>27</v>
      </c>
      <c r="D17" s="2">
        <v>10</v>
      </c>
      <c r="E17" s="2">
        <v>4</v>
      </c>
      <c r="F17" s="2">
        <v>5</v>
      </c>
      <c r="G17" s="2">
        <v>1</v>
      </c>
      <c r="H17" s="2">
        <f>15+7+4</f>
        <v>26</v>
      </c>
      <c r="I17" s="2">
        <f>4+4+7</f>
        <v>15</v>
      </c>
      <c r="J17" s="2">
        <f t="shared" si="3"/>
        <v>13</v>
      </c>
      <c r="K17" s="4">
        <f t="shared" si="4"/>
        <v>2.6</v>
      </c>
      <c r="L17" s="2">
        <v>2</v>
      </c>
      <c r="M17" s="4">
        <f t="shared" si="5"/>
        <v>1.5</v>
      </c>
      <c r="N17" s="12">
        <f>2/1</f>
        <v>2</v>
      </c>
      <c r="O17" s="5">
        <v>6</v>
      </c>
    </row>
    <row r="18" spans="1:15">
      <c r="A18" s="2">
        <v>5</v>
      </c>
      <c r="B18" s="2" t="s">
        <v>23</v>
      </c>
      <c r="C18" s="2" t="s">
        <v>22</v>
      </c>
      <c r="D18" s="2">
        <v>17</v>
      </c>
      <c r="E18" s="2">
        <v>5</v>
      </c>
      <c r="F18" s="2">
        <v>3</v>
      </c>
      <c r="G18" s="2">
        <v>9</v>
      </c>
      <c r="H18" s="2">
        <f>13+10</f>
        <v>23</v>
      </c>
      <c r="I18" s="2">
        <v>46</v>
      </c>
      <c r="J18" s="2">
        <f t="shared" si="3"/>
        <v>13</v>
      </c>
      <c r="K18" s="4">
        <f t="shared" si="4"/>
        <v>1.3529411764705883</v>
      </c>
      <c r="L18" s="2">
        <v>3</v>
      </c>
      <c r="M18" s="4">
        <f t="shared" si="5"/>
        <v>2.7058823529411766</v>
      </c>
      <c r="N18" s="12">
        <f>9/2</f>
        <v>4.5</v>
      </c>
      <c r="O18" s="5">
        <v>5</v>
      </c>
    </row>
    <row r="19" spans="1:15">
      <c r="A19" s="2">
        <v>6</v>
      </c>
      <c r="B19" s="2" t="s">
        <v>21</v>
      </c>
      <c r="C19" s="2" t="s">
        <v>22</v>
      </c>
      <c r="D19" s="2">
        <v>17</v>
      </c>
      <c r="E19" s="2">
        <v>5</v>
      </c>
      <c r="F19" s="2">
        <v>0</v>
      </c>
      <c r="G19" s="2">
        <v>12</v>
      </c>
      <c r="H19" s="2">
        <v>31</v>
      </c>
      <c r="I19" s="2">
        <v>80</v>
      </c>
      <c r="J19" s="2">
        <f t="shared" si="3"/>
        <v>10</v>
      </c>
      <c r="K19" s="4">
        <f t="shared" si="4"/>
        <v>1.8235294117647058</v>
      </c>
      <c r="L19" s="2">
        <v>2</v>
      </c>
      <c r="M19" s="4">
        <f t="shared" si="5"/>
        <v>4.7058823529411766</v>
      </c>
      <c r="N19" s="12">
        <f>9/2</f>
        <v>4.5</v>
      </c>
      <c r="O19" s="5">
        <v>5</v>
      </c>
    </row>
    <row r="20" spans="1:15">
      <c r="A20" s="2">
        <v>7</v>
      </c>
      <c r="B20" s="2" t="s">
        <v>20</v>
      </c>
      <c r="C20" s="2" t="s">
        <v>19</v>
      </c>
      <c r="D20" s="2">
        <v>16</v>
      </c>
      <c r="E20" s="2">
        <v>1</v>
      </c>
      <c r="F20" s="2">
        <v>1</v>
      </c>
      <c r="G20" s="2">
        <v>14</v>
      </c>
      <c r="H20" s="2">
        <v>12</v>
      </c>
      <c r="I20" s="2">
        <f>31+24</f>
        <v>55</v>
      </c>
      <c r="J20" s="2">
        <f t="shared" si="3"/>
        <v>3</v>
      </c>
      <c r="K20" s="4">
        <f t="shared" si="4"/>
        <v>0.75</v>
      </c>
      <c r="L20" s="2">
        <v>0</v>
      </c>
      <c r="M20" s="4">
        <f t="shared" si="5"/>
        <v>3.4375</v>
      </c>
      <c r="N20" s="12">
        <f>12/2</f>
        <v>6</v>
      </c>
      <c r="O20" s="5">
        <v>2</v>
      </c>
    </row>
    <row r="21" spans="1:15">
      <c r="D21">
        <f ca="1">SUM(D14:D22)/2</f>
        <v>53</v>
      </c>
      <c r="H21">
        <f ca="1">SUM(H14:H22)</f>
        <v>260</v>
      </c>
      <c r="I21">
        <f ca="1">SUM(I14:I22)</f>
        <v>260</v>
      </c>
    </row>
    <row r="22" spans="1:15">
      <c r="H22" s="8">
        <f ca="1">H21/D21</f>
        <v>4.9056603773584904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opLeftCell="A3" workbookViewId="0">
      <selection activeCell="Q20" sqref="Q20"/>
    </sheetView>
  </sheetViews>
  <sheetFormatPr defaultRowHeight="15"/>
  <sheetData>
    <row r="1" spans="1:15" ht="23.25">
      <c r="E1" s="1" t="s">
        <v>31</v>
      </c>
    </row>
    <row r="3" spans="1:15">
      <c r="A3" s="6" t="s">
        <v>0</v>
      </c>
      <c r="B3" s="7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13" t="s">
        <v>7</v>
      </c>
      <c r="I3" s="13" t="s">
        <v>30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</row>
    <row r="4" spans="1:15">
      <c r="A4" s="2">
        <v>1</v>
      </c>
      <c r="B4" s="2" t="s">
        <v>32</v>
      </c>
      <c r="C4" s="2" t="s">
        <v>17</v>
      </c>
      <c r="D4" s="2">
        <v>11</v>
      </c>
      <c r="E4" s="2">
        <v>8</v>
      </c>
      <c r="F4" s="2">
        <v>2</v>
      </c>
      <c r="G4" s="2">
        <v>1</v>
      </c>
      <c r="H4" s="2">
        <f>20+5+5</f>
        <v>30</v>
      </c>
      <c r="I4" s="2">
        <v>13</v>
      </c>
      <c r="J4" s="2">
        <f>E4*2+F4</f>
        <v>18</v>
      </c>
      <c r="K4" s="4">
        <f>H4/D4</f>
        <v>2.7272727272727271</v>
      </c>
      <c r="L4" s="2">
        <v>3</v>
      </c>
      <c r="M4" s="4">
        <f>I4/D4</f>
        <v>1.1818181818181819</v>
      </c>
      <c r="N4" s="2"/>
      <c r="O4" s="5">
        <v>11</v>
      </c>
    </row>
    <row r="5" spans="1:15">
      <c r="A5" s="2">
        <v>2</v>
      </c>
      <c r="B5" s="2" t="s">
        <v>26</v>
      </c>
      <c r="C5" s="2" t="s">
        <v>27</v>
      </c>
      <c r="D5" s="2">
        <v>11</v>
      </c>
      <c r="E5" s="2">
        <v>5</v>
      </c>
      <c r="F5" s="2">
        <v>0</v>
      </c>
      <c r="G5" s="2">
        <v>6</v>
      </c>
      <c r="H5" s="2">
        <f>13+9+1</f>
        <v>23</v>
      </c>
      <c r="I5" s="2">
        <f>14+11+5</f>
        <v>30</v>
      </c>
      <c r="J5" s="2">
        <f t="shared" ref="J5:J10" si="0">E5*2+F5</f>
        <v>10</v>
      </c>
      <c r="K5" s="4">
        <f t="shared" ref="K5:K10" si="1">H5/D5</f>
        <v>2.0909090909090908</v>
      </c>
      <c r="L5" s="2">
        <v>1</v>
      </c>
      <c r="M5" s="4">
        <f t="shared" ref="M5:M10" si="2">I5/D5</f>
        <v>2.7272727272727271</v>
      </c>
      <c r="N5" s="2"/>
      <c r="O5" s="5">
        <v>8</v>
      </c>
    </row>
    <row r="6" spans="1:15">
      <c r="A6" s="2">
        <v>3</v>
      </c>
      <c r="B6" s="9" t="s">
        <v>14</v>
      </c>
      <c r="C6" s="9" t="s">
        <v>15</v>
      </c>
      <c r="D6" s="2">
        <v>12</v>
      </c>
      <c r="E6" s="2">
        <v>7</v>
      </c>
      <c r="F6" s="2">
        <v>1</v>
      </c>
      <c r="G6" s="2">
        <v>4</v>
      </c>
      <c r="H6" s="2">
        <f>20+5+11</f>
        <v>36</v>
      </c>
      <c r="I6" s="2">
        <f>11+5+6</f>
        <v>22</v>
      </c>
      <c r="J6" s="2">
        <f t="shared" si="0"/>
        <v>15</v>
      </c>
      <c r="K6" s="4">
        <f t="shared" si="1"/>
        <v>3</v>
      </c>
      <c r="L6" s="2">
        <v>1</v>
      </c>
      <c r="M6" s="4">
        <f t="shared" si="2"/>
        <v>1.8333333333333333</v>
      </c>
      <c r="N6" s="2"/>
      <c r="O6" s="5">
        <v>6</v>
      </c>
    </row>
    <row r="7" spans="1:15">
      <c r="A7" s="2">
        <v>4</v>
      </c>
      <c r="B7" s="9" t="s">
        <v>33</v>
      </c>
      <c r="C7" s="9" t="s">
        <v>34</v>
      </c>
      <c r="D7" s="2">
        <v>12</v>
      </c>
      <c r="E7" s="2">
        <v>7</v>
      </c>
      <c r="F7" s="2">
        <v>1</v>
      </c>
      <c r="G7" s="2">
        <v>4</v>
      </c>
      <c r="H7" s="2">
        <f>25+11+6</f>
        <v>42</v>
      </c>
      <c r="I7" s="2">
        <f>11+9+11</f>
        <v>31</v>
      </c>
      <c r="J7" s="2">
        <f t="shared" si="0"/>
        <v>15</v>
      </c>
      <c r="K7" s="4">
        <f t="shared" si="1"/>
        <v>3.5</v>
      </c>
      <c r="L7" s="2">
        <v>1</v>
      </c>
      <c r="M7" s="4">
        <f t="shared" si="2"/>
        <v>2.5833333333333335</v>
      </c>
      <c r="N7" s="2"/>
      <c r="O7" s="5">
        <v>4</v>
      </c>
    </row>
    <row r="8" spans="1:15">
      <c r="A8" s="2">
        <v>5</v>
      </c>
      <c r="B8" s="9" t="s">
        <v>16</v>
      </c>
      <c r="C8" s="9" t="s">
        <v>35</v>
      </c>
      <c r="D8" s="2">
        <v>10</v>
      </c>
      <c r="E8" s="2">
        <v>3</v>
      </c>
      <c r="F8" s="2">
        <v>2</v>
      </c>
      <c r="G8" s="2">
        <v>5</v>
      </c>
      <c r="H8" s="2">
        <f>6+13</f>
        <v>19</v>
      </c>
      <c r="I8" s="2">
        <f>20+7</f>
        <v>27</v>
      </c>
      <c r="J8" s="2">
        <f t="shared" si="0"/>
        <v>8</v>
      </c>
      <c r="K8" s="4">
        <f t="shared" si="1"/>
        <v>1.9</v>
      </c>
      <c r="L8" s="2">
        <v>1</v>
      </c>
      <c r="M8" s="4">
        <f t="shared" si="2"/>
        <v>2.7</v>
      </c>
      <c r="N8" s="2"/>
      <c r="O8" s="5">
        <v>3</v>
      </c>
    </row>
    <row r="9" spans="1:15">
      <c r="A9" s="2">
        <v>6</v>
      </c>
      <c r="B9" s="9" t="s">
        <v>36</v>
      </c>
      <c r="C9" s="9" t="s">
        <v>19</v>
      </c>
      <c r="D9" s="2">
        <v>10</v>
      </c>
      <c r="E9" s="2">
        <v>4</v>
      </c>
      <c r="F9" s="2">
        <v>1</v>
      </c>
      <c r="G9" s="2">
        <v>5</v>
      </c>
      <c r="H9" s="2">
        <f>14+13</f>
        <v>27</v>
      </c>
      <c r="I9" s="2">
        <f>15+7</f>
        <v>22</v>
      </c>
      <c r="J9" s="2">
        <f t="shared" si="0"/>
        <v>9</v>
      </c>
      <c r="K9" s="4">
        <f t="shared" si="1"/>
        <v>2.7</v>
      </c>
      <c r="L9" s="2">
        <v>1</v>
      </c>
      <c r="M9" s="4">
        <f t="shared" si="2"/>
        <v>2.2000000000000002</v>
      </c>
      <c r="N9" s="2"/>
      <c r="O9" s="5">
        <v>2</v>
      </c>
    </row>
    <row r="10" spans="1:15">
      <c r="A10" s="2">
        <v>7</v>
      </c>
      <c r="B10" s="9" t="s">
        <v>20</v>
      </c>
      <c r="C10" s="9" t="s">
        <v>19</v>
      </c>
      <c r="D10" s="2">
        <v>10</v>
      </c>
      <c r="E10" s="2">
        <v>0</v>
      </c>
      <c r="F10" s="2">
        <v>1</v>
      </c>
      <c r="G10" s="2">
        <v>9</v>
      </c>
      <c r="H10" s="2">
        <v>6</v>
      </c>
      <c r="I10" s="2">
        <f>23+15</f>
        <v>38</v>
      </c>
      <c r="J10" s="2">
        <f t="shared" si="0"/>
        <v>1</v>
      </c>
      <c r="K10" s="4">
        <f t="shared" si="1"/>
        <v>0.6</v>
      </c>
      <c r="L10" s="2">
        <v>0</v>
      </c>
      <c r="M10" s="4">
        <f t="shared" si="2"/>
        <v>3.8</v>
      </c>
      <c r="N10" s="2"/>
      <c r="O10" s="5">
        <v>1</v>
      </c>
    </row>
    <row r="11" spans="1:15">
      <c r="D11">
        <f>SUM(D4:D10)/2</f>
        <v>38</v>
      </c>
      <c r="H11">
        <f>SUM(H4:H10)</f>
        <v>183</v>
      </c>
      <c r="I11">
        <f>SUM(I4:I10)</f>
        <v>183</v>
      </c>
    </row>
    <row r="12" spans="1:15">
      <c r="H12">
        <f>H11/D11</f>
        <v>4.8157894736842106</v>
      </c>
    </row>
    <row r="14" spans="1:15" ht="23.25">
      <c r="E14" s="1" t="s">
        <v>37</v>
      </c>
    </row>
    <row r="15" spans="1:15">
      <c r="A15" s="6" t="s">
        <v>0</v>
      </c>
      <c r="B15" s="7" t="s">
        <v>1</v>
      </c>
      <c r="C15" s="6" t="s">
        <v>2</v>
      </c>
      <c r="D15" s="7" t="s">
        <v>3</v>
      </c>
      <c r="E15" s="6" t="s">
        <v>4</v>
      </c>
      <c r="F15" s="6" t="s">
        <v>5</v>
      </c>
      <c r="G15" s="6" t="s">
        <v>6</v>
      </c>
      <c r="H15" s="13" t="s">
        <v>7</v>
      </c>
      <c r="I15" s="13" t="s">
        <v>30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12</v>
      </c>
      <c r="O15" s="6" t="s">
        <v>13</v>
      </c>
    </row>
    <row r="16" spans="1:15">
      <c r="A16" s="2">
        <v>1</v>
      </c>
      <c r="B16" s="2" t="s">
        <v>16</v>
      </c>
      <c r="C16" s="2" t="s">
        <v>17</v>
      </c>
      <c r="D16" s="2">
        <v>28</v>
      </c>
      <c r="E16" s="2">
        <v>14</v>
      </c>
      <c r="F16" s="2">
        <v>8</v>
      </c>
      <c r="G16" s="2">
        <v>6</v>
      </c>
      <c r="H16" s="2">
        <f>68+19</f>
        <v>87</v>
      </c>
      <c r="I16" s="2">
        <f>25+27</f>
        <v>52</v>
      </c>
      <c r="J16" s="2">
        <f t="shared" ref="J16:J24" si="3">E16*2+F16</f>
        <v>36</v>
      </c>
      <c r="K16" s="4">
        <f t="shared" ref="K16:K24" si="4">H16/D16</f>
        <v>3.1071428571428572</v>
      </c>
      <c r="L16" s="2">
        <v>5</v>
      </c>
      <c r="M16" s="4">
        <f t="shared" ref="M16:M24" si="5">I16/D16</f>
        <v>1.8571428571428572</v>
      </c>
      <c r="N16" s="12">
        <f>9/3</f>
        <v>3</v>
      </c>
      <c r="O16" s="5">
        <v>16</v>
      </c>
    </row>
    <row r="17" spans="1:15">
      <c r="A17" s="2">
        <v>2</v>
      </c>
      <c r="B17" s="2" t="s">
        <v>18</v>
      </c>
      <c r="C17" s="2" t="s">
        <v>19</v>
      </c>
      <c r="D17" s="2">
        <v>29</v>
      </c>
      <c r="E17" s="2">
        <v>16</v>
      </c>
      <c r="F17" s="2">
        <v>4</v>
      </c>
      <c r="G17" s="2">
        <v>9</v>
      </c>
      <c r="H17" s="2">
        <f>72+27</f>
        <v>99</v>
      </c>
      <c r="I17" s="2">
        <v>44</v>
      </c>
      <c r="J17" s="2">
        <f t="shared" si="3"/>
        <v>36</v>
      </c>
      <c r="K17" s="4">
        <f t="shared" si="4"/>
        <v>3.4137931034482758</v>
      </c>
      <c r="L17" s="2">
        <v>8</v>
      </c>
      <c r="M17" s="4">
        <f t="shared" si="5"/>
        <v>1.5172413793103448</v>
      </c>
      <c r="N17" s="12">
        <f>10/3</f>
        <v>3.3333333333333335</v>
      </c>
      <c r="O17" s="5">
        <v>15</v>
      </c>
    </row>
    <row r="18" spans="1:15">
      <c r="A18" s="2">
        <v>3</v>
      </c>
      <c r="B18" s="2" t="s">
        <v>26</v>
      </c>
      <c r="C18" s="2" t="s">
        <v>27</v>
      </c>
      <c r="D18" s="2">
        <v>21</v>
      </c>
      <c r="E18" s="2">
        <v>9</v>
      </c>
      <c r="F18" s="2">
        <v>5</v>
      </c>
      <c r="G18" s="2">
        <v>7</v>
      </c>
      <c r="H18" s="2">
        <f>26+23</f>
        <v>49</v>
      </c>
      <c r="I18" s="2">
        <v>45</v>
      </c>
      <c r="J18" s="2">
        <f t="shared" si="3"/>
        <v>23</v>
      </c>
      <c r="K18" s="4">
        <f t="shared" si="4"/>
        <v>2.3333333333333335</v>
      </c>
      <c r="L18" s="2">
        <v>3</v>
      </c>
      <c r="M18" s="4">
        <f t="shared" si="5"/>
        <v>2.1428571428571428</v>
      </c>
      <c r="N18" s="12">
        <f>4/2</f>
        <v>2</v>
      </c>
      <c r="O18" s="5">
        <v>14</v>
      </c>
    </row>
    <row r="19" spans="1:15">
      <c r="A19" s="2">
        <v>4</v>
      </c>
      <c r="B19" s="9" t="s">
        <v>29</v>
      </c>
      <c r="C19" s="9" t="s">
        <v>15</v>
      </c>
      <c r="D19" s="2">
        <v>21</v>
      </c>
      <c r="E19" s="2">
        <v>12</v>
      </c>
      <c r="F19" s="2">
        <v>3</v>
      </c>
      <c r="G19" s="2">
        <v>6</v>
      </c>
      <c r="H19" s="2">
        <f>28+36</f>
        <v>64</v>
      </c>
      <c r="I19" s="2">
        <f>17+22</f>
        <v>39</v>
      </c>
      <c r="J19" s="2">
        <f t="shared" si="3"/>
        <v>27</v>
      </c>
      <c r="K19" s="4">
        <f t="shared" si="4"/>
        <v>3.0476190476190474</v>
      </c>
      <c r="L19" s="2">
        <v>3</v>
      </c>
      <c r="M19" s="4">
        <f t="shared" si="5"/>
        <v>1.8571428571428572</v>
      </c>
      <c r="N19" s="12">
        <f>5/2</f>
        <v>2.5</v>
      </c>
      <c r="O19" s="5">
        <v>12</v>
      </c>
    </row>
    <row r="20" spans="1:15">
      <c r="A20" s="2">
        <v>5</v>
      </c>
      <c r="B20" s="9" t="s">
        <v>32</v>
      </c>
      <c r="C20" s="9" t="s">
        <v>17</v>
      </c>
      <c r="D20" s="2">
        <v>11</v>
      </c>
      <c r="E20" s="2">
        <v>8</v>
      </c>
      <c r="F20" s="2">
        <v>2</v>
      </c>
      <c r="G20" s="2">
        <v>1</v>
      </c>
      <c r="H20" s="2">
        <f>20+5+5</f>
        <v>30</v>
      </c>
      <c r="I20" s="2">
        <v>13</v>
      </c>
      <c r="J20" s="2">
        <f t="shared" si="3"/>
        <v>18</v>
      </c>
      <c r="K20" s="4">
        <f t="shared" si="4"/>
        <v>2.7272727272727271</v>
      </c>
      <c r="L20" s="2">
        <v>3</v>
      </c>
      <c r="M20" s="4">
        <f t="shared" si="5"/>
        <v>1.1818181818181819</v>
      </c>
      <c r="N20" s="12">
        <f>1/1</f>
        <v>1</v>
      </c>
      <c r="O20" s="5">
        <v>11</v>
      </c>
    </row>
    <row r="21" spans="1:15">
      <c r="A21" s="2">
        <v>6</v>
      </c>
      <c r="B21" s="2" t="s">
        <v>23</v>
      </c>
      <c r="C21" s="2" t="s">
        <v>22</v>
      </c>
      <c r="D21" s="2">
        <v>17</v>
      </c>
      <c r="E21" s="2">
        <v>5</v>
      </c>
      <c r="F21" s="2">
        <v>3</v>
      </c>
      <c r="G21" s="2">
        <v>9</v>
      </c>
      <c r="H21" s="2">
        <f>13+10</f>
        <v>23</v>
      </c>
      <c r="I21" s="2">
        <v>46</v>
      </c>
      <c r="J21" s="2">
        <f t="shared" si="3"/>
        <v>13</v>
      </c>
      <c r="K21" s="4">
        <f t="shared" si="4"/>
        <v>1.3529411764705883</v>
      </c>
      <c r="L21" s="2">
        <v>3</v>
      </c>
      <c r="M21" s="4">
        <f t="shared" si="5"/>
        <v>2.7058823529411766</v>
      </c>
      <c r="N21" s="12">
        <f>9/2</f>
        <v>4.5</v>
      </c>
      <c r="O21" s="5">
        <v>5</v>
      </c>
    </row>
    <row r="22" spans="1:15">
      <c r="A22" s="2">
        <v>7</v>
      </c>
      <c r="B22" s="2" t="s">
        <v>21</v>
      </c>
      <c r="C22" s="2" t="s">
        <v>22</v>
      </c>
      <c r="D22" s="2">
        <v>17</v>
      </c>
      <c r="E22" s="2">
        <v>5</v>
      </c>
      <c r="F22" s="2">
        <v>0</v>
      </c>
      <c r="G22" s="2">
        <v>12</v>
      </c>
      <c r="H22" s="2">
        <v>31</v>
      </c>
      <c r="I22" s="2">
        <v>80</v>
      </c>
      <c r="J22" s="2">
        <f t="shared" si="3"/>
        <v>10</v>
      </c>
      <c r="K22" s="4">
        <f t="shared" si="4"/>
        <v>1.8235294117647058</v>
      </c>
      <c r="L22" s="2">
        <v>2</v>
      </c>
      <c r="M22" s="4">
        <f t="shared" si="5"/>
        <v>4.7058823529411766</v>
      </c>
      <c r="N22" s="12">
        <f>9/2</f>
        <v>4.5</v>
      </c>
      <c r="O22" s="5">
        <v>5</v>
      </c>
    </row>
    <row r="23" spans="1:15">
      <c r="A23" s="2">
        <v>8</v>
      </c>
      <c r="B23" s="9" t="s">
        <v>33</v>
      </c>
      <c r="C23" s="9" t="s">
        <v>34</v>
      </c>
      <c r="D23" s="2">
        <v>12</v>
      </c>
      <c r="E23" s="2">
        <v>7</v>
      </c>
      <c r="F23" s="2">
        <v>1</v>
      </c>
      <c r="G23" s="2">
        <v>4</v>
      </c>
      <c r="H23" s="2">
        <f>25+11+6</f>
        <v>42</v>
      </c>
      <c r="I23" s="2">
        <f>11+9+11</f>
        <v>31</v>
      </c>
      <c r="J23" s="2">
        <f t="shared" si="3"/>
        <v>15</v>
      </c>
      <c r="K23" s="4">
        <f t="shared" si="4"/>
        <v>3.5</v>
      </c>
      <c r="L23" s="2">
        <v>1</v>
      </c>
      <c r="M23" s="4">
        <f t="shared" si="5"/>
        <v>2.5833333333333335</v>
      </c>
      <c r="N23" s="12">
        <f>4/1</f>
        <v>4</v>
      </c>
      <c r="O23" s="5">
        <v>4</v>
      </c>
    </row>
    <row r="24" spans="1:15">
      <c r="A24" s="2">
        <v>9</v>
      </c>
      <c r="B24" s="2" t="s">
        <v>20</v>
      </c>
      <c r="C24" s="2" t="s">
        <v>19</v>
      </c>
      <c r="D24" s="2">
        <v>26</v>
      </c>
      <c r="E24" s="2">
        <v>1</v>
      </c>
      <c r="F24" s="2">
        <v>2</v>
      </c>
      <c r="G24" s="2">
        <v>23</v>
      </c>
      <c r="H24" s="2">
        <v>18</v>
      </c>
      <c r="I24" s="2">
        <f>55+38</f>
        <v>93</v>
      </c>
      <c r="J24" s="2">
        <f t="shared" si="3"/>
        <v>4</v>
      </c>
      <c r="K24" s="4">
        <f t="shared" si="4"/>
        <v>0.69230769230769229</v>
      </c>
      <c r="L24" s="2">
        <v>0</v>
      </c>
      <c r="M24" s="4">
        <f t="shared" si="5"/>
        <v>3.5769230769230771</v>
      </c>
      <c r="N24" s="12">
        <f>19/3</f>
        <v>6.333333333333333</v>
      </c>
      <c r="O24" s="5">
        <v>3</v>
      </c>
    </row>
    <row r="25" spans="1:15">
      <c r="D25">
        <f>SUM(D16:D24)/2</f>
        <v>91</v>
      </c>
      <c r="H25">
        <f>SUM(H16:H24)</f>
        <v>443</v>
      </c>
      <c r="I25">
        <f>SUM(I16:I24)</f>
        <v>443</v>
      </c>
    </row>
    <row r="26" spans="1:15">
      <c r="H26">
        <f>H25/D25</f>
        <v>4.8681318681318677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opLeftCell="A2" workbookViewId="0">
      <selection activeCell="M6" sqref="M6"/>
    </sheetView>
  </sheetViews>
  <sheetFormatPr defaultRowHeight="15"/>
  <sheetData>
    <row r="1" spans="1:15" ht="23.25">
      <c r="E1" s="1" t="s">
        <v>38</v>
      </c>
    </row>
    <row r="2" spans="1:1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13" t="s">
        <v>30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>
      <c r="A3" s="2">
        <v>1</v>
      </c>
      <c r="B3" s="2" t="s">
        <v>14</v>
      </c>
      <c r="C3" s="2" t="s">
        <v>15</v>
      </c>
      <c r="D3" s="2">
        <v>13</v>
      </c>
      <c r="E3" s="2">
        <v>8</v>
      </c>
      <c r="F3" s="2">
        <v>3</v>
      </c>
      <c r="G3" s="2">
        <v>2</v>
      </c>
      <c r="H3" s="2">
        <f>29+6+8</f>
        <v>43</v>
      </c>
      <c r="I3" s="2">
        <f>6+4+11</f>
        <v>21</v>
      </c>
      <c r="J3" s="2">
        <f>E3*2+F3</f>
        <v>19</v>
      </c>
      <c r="K3" s="4">
        <f>H3/D3</f>
        <v>3.3076923076923075</v>
      </c>
      <c r="L3" s="2">
        <v>3</v>
      </c>
      <c r="M3" s="4">
        <f>I3/D3</f>
        <v>1.6153846153846154</v>
      </c>
      <c r="N3" s="2"/>
      <c r="O3" s="5">
        <v>14</v>
      </c>
    </row>
    <row r="4" spans="1:15">
      <c r="A4" s="2">
        <v>2</v>
      </c>
      <c r="B4" s="2" t="s">
        <v>16</v>
      </c>
      <c r="C4" s="2" t="s">
        <v>39</v>
      </c>
      <c r="D4" s="2">
        <v>13</v>
      </c>
      <c r="E4" s="2">
        <v>8</v>
      </c>
      <c r="F4" s="2">
        <v>3</v>
      </c>
      <c r="G4" s="2">
        <v>2</v>
      </c>
      <c r="H4" s="2">
        <f>27+11+4</f>
        <v>42</v>
      </c>
      <c r="I4" s="2">
        <f>15+6+6</f>
        <v>27</v>
      </c>
      <c r="J4" s="2">
        <f t="shared" ref="J4:J11" si="0">E4*2+F4</f>
        <v>19</v>
      </c>
      <c r="K4" s="4">
        <f t="shared" ref="K4:K11" si="1">H4/D4</f>
        <v>3.2307692307692308</v>
      </c>
      <c r="L4" s="2">
        <v>2</v>
      </c>
      <c r="M4" s="4">
        <f t="shared" ref="M4:M11" si="2">I4/D4</f>
        <v>2.0769230769230771</v>
      </c>
      <c r="N4" s="2"/>
      <c r="O4" s="5">
        <v>11</v>
      </c>
    </row>
    <row r="5" spans="1:15">
      <c r="A5" s="2">
        <v>3</v>
      </c>
      <c r="B5" s="2" t="s">
        <v>18</v>
      </c>
      <c r="C5" s="2" t="s">
        <v>19</v>
      </c>
      <c r="D5" s="2">
        <v>14</v>
      </c>
      <c r="E5" s="2">
        <v>7</v>
      </c>
      <c r="F5" s="2">
        <v>2</v>
      </c>
      <c r="G5" s="2">
        <v>5</v>
      </c>
      <c r="H5" s="2">
        <f>31+6+10</f>
        <v>47</v>
      </c>
      <c r="I5" s="2">
        <f>18+8+5</f>
        <v>31</v>
      </c>
      <c r="J5" s="2">
        <f t="shared" si="0"/>
        <v>16</v>
      </c>
      <c r="K5" s="4">
        <f t="shared" si="1"/>
        <v>3.3571428571428572</v>
      </c>
      <c r="L5" s="2">
        <v>3</v>
      </c>
      <c r="M5" s="4">
        <f t="shared" si="2"/>
        <v>2.2142857142857144</v>
      </c>
      <c r="N5" s="2"/>
      <c r="O5" s="5">
        <v>9</v>
      </c>
    </row>
    <row r="6" spans="1:15">
      <c r="A6" s="2">
        <v>4</v>
      </c>
      <c r="B6" s="2" t="s">
        <v>40</v>
      </c>
      <c r="C6" s="2" t="s">
        <v>17</v>
      </c>
      <c r="D6" s="2">
        <v>14</v>
      </c>
      <c r="E6" s="2">
        <v>7</v>
      </c>
      <c r="F6" s="2">
        <v>1</v>
      </c>
      <c r="G6" s="2">
        <v>6</v>
      </c>
      <c r="H6" s="2">
        <f>31+6+5</f>
        <v>42</v>
      </c>
      <c r="I6" s="2">
        <f>17+11+10</f>
        <v>38</v>
      </c>
      <c r="J6" s="2">
        <f t="shared" si="0"/>
        <v>15</v>
      </c>
      <c r="K6" s="4">
        <f t="shared" si="1"/>
        <v>3</v>
      </c>
      <c r="L6" s="2">
        <v>3</v>
      </c>
      <c r="M6" s="4">
        <f t="shared" si="2"/>
        <v>2.7142857142857144</v>
      </c>
      <c r="N6" s="2"/>
      <c r="O6" s="5">
        <v>7</v>
      </c>
    </row>
    <row r="7" spans="1:15">
      <c r="A7" s="2">
        <v>5</v>
      </c>
      <c r="B7" s="2" t="s">
        <v>16</v>
      </c>
      <c r="C7" s="2" t="s">
        <v>17</v>
      </c>
      <c r="D7" s="2">
        <v>12</v>
      </c>
      <c r="E7" s="2">
        <v>9</v>
      </c>
      <c r="F7" s="2">
        <v>1</v>
      </c>
      <c r="G7" s="2">
        <v>2</v>
      </c>
      <c r="H7" s="2">
        <f>16+25</f>
        <v>41</v>
      </c>
      <c r="I7" s="2">
        <f>13+2</f>
        <v>15</v>
      </c>
      <c r="J7" s="2">
        <f t="shared" si="0"/>
        <v>19</v>
      </c>
      <c r="K7" s="4">
        <f t="shared" si="1"/>
        <v>3.4166666666666665</v>
      </c>
      <c r="L7" s="2">
        <v>6</v>
      </c>
      <c r="M7" s="4">
        <f t="shared" si="2"/>
        <v>1.25</v>
      </c>
      <c r="N7" s="2"/>
      <c r="O7" s="5">
        <v>5</v>
      </c>
    </row>
    <row r="8" spans="1:15">
      <c r="A8" s="2">
        <v>6</v>
      </c>
      <c r="B8" s="2" t="s">
        <v>41</v>
      </c>
      <c r="C8" s="2" t="s">
        <v>42</v>
      </c>
      <c r="D8" s="2">
        <v>12</v>
      </c>
      <c r="E8" s="2">
        <v>4</v>
      </c>
      <c r="F8" s="2">
        <v>1</v>
      </c>
      <c r="G8" s="2">
        <v>7</v>
      </c>
      <c r="H8" s="2">
        <f>15+12</f>
        <v>27</v>
      </c>
      <c r="I8" s="2">
        <f>19+7</f>
        <v>26</v>
      </c>
      <c r="J8" s="2">
        <f t="shared" si="0"/>
        <v>9</v>
      </c>
      <c r="K8" s="4">
        <f t="shared" si="1"/>
        <v>2.25</v>
      </c>
      <c r="L8" s="2">
        <v>2</v>
      </c>
      <c r="M8" s="4">
        <f t="shared" si="2"/>
        <v>2.1666666666666665</v>
      </c>
      <c r="N8" s="2"/>
      <c r="O8" s="5">
        <v>4</v>
      </c>
    </row>
    <row r="9" spans="1:15">
      <c r="A9" s="2">
        <v>7</v>
      </c>
      <c r="B9" s="2" t="s">
        <v>43</v>
      </c>
      <c r="C9" s="2" t="s">
        <v>22</v>
      </c>
      <c r="D9" s="2">
        <v>12</v>
      </c>
      <c r="E9" s="2">
        <v>5</v>
      </c>
      <c r="F9" s="2">
        <v>0</v>
      </c>
      <c r="G9" s="2">
        <v>7</v>
      </c>
      <c r="H9" s="2">
        <f>7+12</f>
        <v>19</v>
      </c>
      <c r="I9" s="2">
        <f>27+11</f>
        <v>38</v>
      </c>
      <c r="J9" s="2">
        <f t="shared" si="0"/>
        <v>10</v>
      </c>
      <c r="K9" s="4">
        <f t="shared" si="1"/>
        <v>1.5833333333333333</v>
      </c>
      <c r="L9" s="2">
        <v>2</v>
      </c>
      <c r="M9" s="4">
        <f t="shared" si="2"/>
        <v>3.1666666666666665</v>
      </c>
      <c r="N9" s="2"/>
      <c r="O9" s="5">
        <v>3</v>
      </c>
    </row>
    <row r="10" spans="1:15">
      <c r="A10" s="2">
        <v>8</v>
      </c>
      <c r="B10" s="2" t="s">
        <v>23</v>
      </c>
      <c r="C10" s="2" t="s">
        <v>22</v>
      </c>
      <c r="D10" s="2">
        <v>12</v>
      </c>
      <c r="E10" s="2">
        <v>0</v>
      </c>
      <c r="F10" s="2">
        <v>2</v>
      </c>
      <c r="G10" s="2">
        <v>10</v>
      </c>
      <c r="H10" s="2">
        <f>9</f>
        <v>9</v>
      </c>
      <c r="I10" s="2">
        <f>28+6</f>
        <v>34</v>
      </c>
      <c r="J10" s="2">
        <f t="shared" si="0"/>
        <v>2</v>
      </c>
      <c r="K10" s="4">
        <f t="shared" si="1"/>
        <v>0.75</v>
      </c>
      <c r="L10" s="2">
        <v>2</v>
      </c>
      <c r="M10" s="4">
        <f t="shared" si="2"/>
        <v>2.8333333333333335</v>
      </c>
      <c r="N10" s="2"/>
      <c r="O10" s="5">
        <v>2</v>
      </c>
    </row>
    <row r="11" spans="1:15">
      <c r="A11" s="2">
        <v>9</v>
      </c>
      <c r="B11" s="2" t="s">
        <v>20</v>
      </c>
      <c r="C11" s="2" t="s">
        <v>19</v>
      </c>
      <c r="D11" s="2">
        <v>12</v>
      </c>
      <c r="E11" s="2">
        <v>0</v>
      </c>
      <c r="F11" s="2">
        <v>2</v>
      </c>
      <c r="G11" s="2">
        <v>10</v>
      </c>
      <c r="H11" s="2">
        <f>5+2</f>
        <v>7</v>
      </c>
      <c r="I11" s="2">
        <f>17+30</f>
        <v>47</v>
      </c>
      <c r="J11" s="2">
        <f t="shared" si="0"/>
        <v>2</v>
      </c>
      <c r="K11" s="4">
        <f t="shared" si="1"/>
        <v>0.58333333333333337</v>
      </c>
      <c r="L11" s="2">
        <v>2</v>
      </c>
      <c r="M11" s="4">
        <f t="shared" si="2"/>
        <v>3.9166666666666665</v>
      </c>
      <c r="N11" s="2"/>
      <c r="O11" s="5">
        <v>1</v>
      </c>
    </row>
    <row r="12" spans="1:15">
      <c r="D12">
        <f>SUM(D3:D11)/2</f>
        <v>57</v>
      </c>
      <c r="H12">
        <f>SUM(H3:H11)</f>
        <v>277</v>
      </c>
      <c r="I12">
        <f>SUM(I3:I11)</f>
        <v>277</v>
      </c>
    </row>
    <row r="13" spans="1:15">
      <c r="G13" s="3">
        <f>H12/D12</f>
        <v>4.8596491228070171</v>
      </c>
    </row>
    <row r="15" spans="1:15" ht="23.25">
      <c r="E15" s="1" t="s">
        <v>44</v>
      </c>
    </row>
    <row r="16" spans="1:15">
      <c r="A16" s="6" t="s">
        <v>0</v>
      </c>
      <c r="B16" s="7" t="s">
        <v>1</v>
      </c>
      <c r="C16" s="6" t="s">
        <v>2</v>
      </c>
      <c r="D16" s="7" t="s">
        <v>3</v>
      </c>
      <c r="E16" s="6" t="s">
        <v>4</v>
      </c>
      <c r="F16" s="6" t="s">
        <v>5</v>
      </c>
      <c r="G16" s="6" t="s">
        <v>6</v>
      </c>
      <c r="H16" s="13" t="s">
        <v>7</v>
      </c>
      <c r="I16" s="13" t="s">
        <v>30</v>
      </c>
      <c r="J16" s="6" t="s">
        <v>8</v>
      </c>
      <c r="K16" s="6" t="s">
        <v>9</v>
      </c>
      <c r="L16" s="6" t="s">
        <v>10</v>
      </c>
      <c r="M16" s="6" t="s">
        <v>11</v>
      </c>
      <c r="N16" s="6" t="s">
        <v>12</v>
      </c>
      <c r="O16" s="6" t="s">
        <v>13</v>
      </c>
    </row>
    <row r="17" spans="1:15">
      <c r="A17" s="2">
        <v>1</v>
      </c>
      <c r="B17" s="9" t="s">
        <v>29</v>
      </c>
      <c r="C17" s="9" t="s">
        <v>15</v>
      </c>
      <c r="D17" s="2">
        <f>13+21</f>
        <v>34</v>
      </c>
      <c r="E17" s="2">
        <v>20</v>
      </c>
      <c r="F17" s="2">
        <v>6</v>
      </c>
      <c r="G17" s="2">
        <v>8</v>
      </c>
      <c r="H17" s="2">
        <f>43+64</f>
        <v>107</v>
      </c>
      <c r="I17" s="2">
        <f>21+39</f>
        <v>60</v>
      </c>
      <c r="J17" s="2">
        <f>2*E17+F17</f>
        <v>46</v>
      </c>
      <c r="K17" s="4">
        <f t="shared" ref="K17:K27" si="3">H17/D17</f>
        <v>3.1470588235294117</v>
      </c>
      <c r="L17" s="2">
        <v>6</v>
      </c>
      <c r="M17" s="4">
        <f t="shared" ref="M17:M27" si="4">I17/D17</f>
        <v>1.7647058823529411</v>
      </c>
      <c r="N17" s="4">
        <f>6/3</f>
        <v>2</v>
      </c>
      <c r="O17" s="5">
        <f>14+12</f>
        <v>26</v>
      </c>
    </row>
    <row r="18" spans="1:15">
      <c r="A18" s="2">
        <v>2</v>
      </c>
      <c r="B18" s="2" t="s">
        <v>18</v>
      </c>
      <c r="C18" s="2" t="s">
        <v>19</v>
      </c>
      <c r="D18" s="2">
        <f>29+14</f>
        <v>43</v>
      </c>
      <c r="E18" s="2">
        <v>23</v>
      </c>
      <c r="F18" s="2">
        <v>6</v>
      </c>
      <c r="G18" s="2">
        <v>14</v>
      </c>
      <c r="H18" s="2">
        <f>47+99</f>
        <v>146</v>
      </c>
      <c r="I18" s="2">
        <f>44+31</f>
        <v>75</v>
      </c>
      <c r="J18" s="2">
        <f>2*E18+F18</f>
        <v>52</v>
      </c>
      <c r="K18" s="4">
        <f t="shared" si="3"/>
        <v>3.3953488372093021</v>
      </c>
      <c r="L18" s="2">
        <v>11</v>
      </c>
      <c r="M18" s="4">
        <f t="shared" si="4"/>
        <v>1.7441860465116279</v>
      </c>
      <c r="N18" s="4">
        <f>13/4</f>
        <v>3.25</v>
      </c>
      <c r="O18" s="5">
        <v>24</v>
      </c>
    </row>
    <row r="19" spans="1:15">
      <c r="A19" s="2">
        <v>3</v>
      </c>
      <c r="B19" s="2" t="s">
        <v>16</v>
      </c>
      <c r="C19" s="2" t="s">
        <v>17</v>
      </c>
      <c r="D19" s="2">
        <f>28+12</f>
        <v>40</v>
      </c>
      <c r="E19" s="2">
        <f>9+14</f>
        <v>23</v>
      </c>
      <c r="F19" s="2">
        <f>8+1</f>
        <v>9</v>
      </c>
      <c r="G19" s="2">
        <v>8</v>
      </c>
      <c r="H19" s="2">
        <f>41+87</f>
        <v>128</v>
      </c>
      <c r="I19" s="2">
        <f>15+52</f>
        <v>67</v>
      </c>
      <c r="J19" s="2">
        <f>2*E19+F19</f>
        <v>55</v>
      </c>
      <c r="K19" s="4">
        <f t="shared" si="3"/>
        <v>3.2</v>
      </c>
      <c r="L19" s="2">
        <v>11</v>
      </c>
      <c r="M19" s="4">
        <f t="shared" si="4"/>
        <v>1.675</v>
      </c>
      <c r="N19" s="4">
        <f>14/4</f>
        <v>3.5</v>
      </c>
      <c r="O19" s="5">
        <v>21</v>
      </c>
    </row>
    <row r="20" spans="1:15">
      <c r="A20" s="2">
        <v>4</v>
      </c>
      <c r="B20" s="9" t="s">
        <v>32</v>
      </c>
      <c r="C20" s="9" t="s">
        <v>17</v>
      </c>
      <c r="D20" s="2">
        <f>14+11</f>
        <v>25</v>
      </c>
      <c r="E20" s="2">
        <v>15</v>
      </c>
      <c r="F20" s="2">
        <v>3</v>
      </c>
      <c r="G20" s="2">
        <v>7</v>
      </c>
      <c r="H20" s="2">
        <f>42+30</f>
        <v>72</v>
      </c>
      <c r="I20" s="2">
        <f>13+38</f>
        <v>51</v>
      </c>
      <c r="J20" s="2">
        <f>2*E20+F20</f>
        <v>33</v>
      </c>
      <c r="K20" s="4">
        <f t="shared" si="3"/>
        <v>2.88</v>
      </c>
      <c r="L20" s="2">
        <v>6</v>
      </c>
      <c r="M20" s="4">
        <f t="shared" si="4"/>
        <v>2.04</v>
      </c>
      <c r="N20" s="4">
        <f>5/2</f>
        <v>2.5</v>
      </c>
      <c r="O20" s="5">
        <v>18</v>
      </c>
    </row>
    <row r="21" spans="1:15">
      <c r="A21" s="2">
        <v>5</v>
      </c>
      <c r="B21" s="2" t="s">
        <v>26</v>
      </c>
      <c r="C21" s="2" t="s">
        <v>27</v>
      </c>
      <c r="D21" s="2">
        <v>21</v>
      </c>
      <c r="E21" s="2">
        <v>9</v>
      </c>
      <c r="F21" s="2">
        <v>5</v>
      </c>
      <c r="G21" s="2">
        <v>7</v>
      </c>
      <c r="H21" s="2">
        <f>26+23</f>
        <v>49</v>
      </c>
      <c r="I21" s="2">
        <v>45</v>
      </c>
      <c r="J21" s="2">
        <f>E21*2+F21</f>
        <v>23</v>
      </c>
      <c r="K21" s="4">
        <f t="shared" si="3"/>
        <v>2.3333333333333335</v>
      </c>
      <c r="L21" s="2">
        <v>3</v>
      </c>
      <c r="M21" s="4">
        <f t="shared" si="4"/>
        <v>2.1428571428571428</v>
      </c>
      <c r="N21" s="4">
        <f>4/2</f>
        <v>2</v>
      </c>
      <c r="O21" s="5">
        <v>14</v>
      </c>
    </row>
    <row r="22" spans="1:15">
      <c r="A22" s="2">
        <v>6</v>
      </c>
      <c r="B22" s="2" t="s">
        <v>16</v>
      </c>
      <c r="C22" s="2" t="s">
        <v>39</v>
      </c>
      <c r="D22" s="2">
        <v>13</v>
      </c>
      <c r="E22" s="2">
        <v>8</v>
      </c>
      <c r="F22" s="2">
        <v>3</v>
      </c>
      <c r="G22" s="2">
        <v>2</v>
      </c>
      <c r="H22" s="2">
        <f>27+11+4</f>
        <v>42</v>
      </c>
      <c r="I22" s="2">
        <f>15+6+6</f>
        <v>27</v>
      </c>
      <c r="J22" s="2">
        <f>E22*2+F22</f>
        <v>19</v>
      </c>
      <c r="K22" s="4">
        <f t="shared" si="3"/>
        <v>3.2307692307692308</v>
      </c>
      <c r="L22" s="2">
        <v>2</v>
      </c>
      <c r="M22" s="4">
        <f t="shared" si="4"/>
        <v>2.0769230769230771</v>
      </c>
      <c r="N22" s="4">
        <f>2/1</f>
        <v>2</v>
      </c>
      <c r="O22" s="5">
        <v>11</v>
      </c>
    </row>
    <row r="23" spans="1:15">
      <c r="A23" s="2">
        <v>7</v>
      </c>
      <c r="B23" s="2" t="s">
        <v>21</v>
      </c>
      <c r="C23" s="2" t="s">
        <v>22</v>
      </c>
      <c r="D23" s="2">
        <f>12+17</f>
        <v>29</v>
      </c>
      <c r="E23" s="2">
        <v>10</v>
      </c>
      <c r="F23" s="2">
        <v>0</v>
      </c>
      <c r="G23" s="2">
        <v>19</v>
      </c>
      <c r="H23" s="2">
        <f>19+31</f>
        <v>50</v>
      </c>
      <c r="I23" s="2">
        <f>80+38</f>
        <v>118</v>
      </c>
      <c r="J23" s="2">
        <f>2*E23+F23</f>
        <v>20</v>
      </c>
      <c r="K23" s="4">
        <f t="shared" si="3"/>
        <v>1.7241379310344827</v>
      </c>
      <c r="L23" s="2">
        <v>4</v>
      </c>
      <c r="M23" s="4">
        <f t="shared" si="4"/>
        <v>4.068965517241379</v>
      </c>
      <c r="N23" s="4">
        <f>14/3</f>
        <v>4.666666666666667</v>
      </c>
      <c r="O23" s="5">
        <v>8</v>
      </c>
    </row>
    <row r="24" spans="1:15">
      <c r="A24" s="2">
        <v>8</v>
      </c>
      <c r="B24" s="2" t="s">
        <v>23</v>
      </c>
      <c r="C24" s="2" t="s">
        <v>22</v>
      </c>
      <c r="D24" s="2">
        <f>17+12</f>
        <v>29</v>
      </c>
      <c r="E24" s="2">
        <v>5</v>
      </c>
      <c r="F24" s="2">
        <v>5</v>
      </c>
      <c r="G24" s="2">
        <v>19</v>
      </c>
      <c r="H24" s="2">
        <f>9+23</f>
        <v>32</v>
      </c>
      <c r="I24" s="2">
        <f>46+34</f>
        <v>80</v>
      </c>
      <c r="J24" s="2">
        <f>2*E24+F24</f>
        <v>15</v>
      </c>
      <c r="K24" s="4">
        <f t="shared" si="3"/>
        <v>1.103448275862069</v>
      </c>
      <c r="L24" s="2">
        <v>5</v>
      </c>
      <c r="M24" s="4">
        <f t="shared" si="4"/>
        <v>2.7586206896551726</v>
      </c>
      <c r="N24" s="4">
        <f>17/3</f>
        <v>5.666666666666667</v>
      </c>
      <c r="O24" s="5">
        <v>7</v>
      </c>
    </row>
    <row r="25" spans="1:15">
      <c r="A25" s="2">
        <v>9</v>
      </c>
      <c r="B25" s="9" t="s">
        <v>33</v>
      </c>
      <c r="C25" s="9" t="s">
        <v>34</v>
      </c>
      <c r="D25" s="2">
        <v>12</v>
      </c>
      <c r="E25" s="2">
        <v>7</v>
      </c>
      <c r="F25" s="2">
        <v>1</v>
      </c>
      <c r="G25" s="2">
        <v>4</v>
      </c>
      <c r="H25" s="2">
        <f>25+11+6</f>
        <v>42</v>
      </c>
      <c r="I25" s="2">
        <f>11+9+11</f>
        <v>31</v>
      </c>
      <c r="J25" s="2">
        <f>E25*2+F25</f>
        <v>15</v>
      </c>
      <c r="K25" s="4">
        <f t="shared" si="3"/>
        <v>3.5</v>
      </c>
      <c r="L25" s="2">
        <v>1</v>
      </c>
      <c r="M25" s="4">
        <f t="shared" si="4"/>
        <v>2.5833333333333335</v>
      </c>
      <c r="N25" s="4">
        <f>4/1</f>
        <v>4</v>
      </c>
      <c r="O25" s="5">
        <v>4</v>
      </c>
    </row>
    <row r="26" spans="1:15">
      <c r="A26" s="2">
        <v>10</v>
      </c>
      <c r="B26" s="2" t="s">
        <v>41</v>
      </c>
      <c r="C26" s="2" t="s">
        <v>42</v>
      </c>
      <c r="D26" s="2">
        <v>12</v>
      </c>
      <c r="E26" s="2">
        <v>4</v>
      </c>
      <c r="F26" s="2">
        <v>1</v>
      </c>
      <c r="G26" s="2">
        <v>7</v>
      </c>
      <c r="H26" s="2">
        <f>15+12</f>
        <v>27</v>
      </c>
      <c r="I26" s="2">
        <f>19+7</f>
        <v>26</v>
      </c>
      <c r="J26" s="2">
        <f>E26*2+F26</f>
        <v>9</v>
      </c>
      <c r="K26" s="4">
        <f t="shared" si="3"/>
        <v>2.25</v>
      </c>
      <c r="L26" s="2">
        <v>2</v>
      </c>
      <c r="M26" s="4">
        <f t="shared" si="4"/>
        <v>2.1666666666666665</v>
      </c>
      <c r="N26" s="4">
        <f>6/1</f>
        <v>6</v>
      </c>
      <c r="O26" s="5">
        <v>4</v>
      </c>
    </row>
    <row r="27" spans="1:15">
      <c r="A27" s="2">
        <v>11</v>
      </c>
      <c r="B27" s="2" t="s">
        <v>20</v>
      </c>
      <c r="C27" s="2" t="s">
        <v>19</v>
      </c>
      <c r="D27" s="2">
        <f>26+12</f>
        <v>38</v>
      </c>
      <c r="E27" s="2">
        <v>1</v>
      </c>
      <c r="F27" s="2">
        <v>4</v>
      </c>
      <c r="G27" s="2">
        <v>33</v>
      </c>
      <c r="H27" s="2">
        <f>18+7</f>
        <v>25</v>
      </c>
      <c r="I27" s="2">
        <f>47+93</f>
        <v>140</v>
      </c>
      <c r="J27" s="2">
        <f>2*E27+F27</f>
        <v>6</v>
      </c>
      <c r="K27" s="4">
        <f t="shared" si="3"/>
        <v>0.65789473684210531</v>
      </c>
      <c r="L27" s="2">
        <v>2</v>
      </c>
      <c r="M27" s="4">
        <f t="shared" si="4"/>
        <v>3.6842105263157894</v>
      </c>
      <c r="N27" s="4">
        <f>28/4</f>
        <v>7</v>
      </c>
      <c r="O27" s="5">
        <v>4</v>
      </c>
    </row>
    <row r="28" spans="1:15">
      <c r="D28">
        <f>SUM(D17:D27)/2</f>
        <v>148</v>
      </c>
      <c r="H28">
        <f>SUM(H17:H27)</f>
        <v>720</v>
      </c>
      <c r="I28">
        <f>SUM(I17:I27)</f>
        <v>720</v>
      </c>
    </row>
    <row r="29" spans="1:15">
      <c r="G29" s="3">
        <f>H28/D28</f>
        <v>4.8648648648648649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opLeftCell="A9" workbookViewId="0">
      <selection activeCell="N25" sqref="N25"/>
    </sheetView>
  </sheetViews>
  <sheetFormatPr defaultRowHeight="15"/>
  <sheetData>
    <row r="1" spans="1:15" ht="23.25">
      <c r="E1" s="1" t="s">
        <v>45</v>
      </c>
    </row>
    <row r="2" spans="1:1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13" t="s">
        <v>30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>
      <c r="A3" s="2">
        <v>1</v>
      </c>
      <c r="B3" s="2" t="s">
        <v>40</v>
      </c>
      <c r="C3" s="2" t="s">
        <v>17</v>
      </c>
      <c r="D3" s="2">
        <v>12</v>
      </c>
      <c r="E3" s="2">
        <v>11</v>
      </c>
      <c r="F3" s="2">
        <v>0</v>
      </c>
      <c r="G3" s="2">
        <v>1</v>
      </c>
      <c r="H3" s="2">
        <f>30+8+7</f>
        <v>45</v>
      </c>
      <c r="I3" s="2">
        <f>11+3</f>
        <v>14</v>
      </c>
      <c r="J3" s="2">
        <f>E3*2+F3</f>
        <v>22</v>
      </c>
      <c r="K3" s="4">
        <f>H3/D3</f>
        <v>3.75</v>
      </c>
      <c r="L3" s="2">
        <v>2</v>
      </c>
      <c r="M3" s="4">
        <f>I3/D3</f>
        <v>1.1666666666666667</v>
      </c>
      <c r="N3" s="2"/>
      <c r="O3" s="5">
        <v>14</v>
      </c>
    </row>
    <row r="4" spans="1:15">
      <c r="A4" s="2">
        <v>2</v>
      </c>
      <c r="B4" s="2" t="s">
        <v>29</v>
      </c>
      <c r="C4" s="2" t="s">
        <v>15</v>
      </c>
      <c r="D4" s="2">
        <v>12</v>
      </c>
      <c r="E4" s="2">
        <v>8</v>
      </c>
      <c r="F4" s="2">
        <v>1</v>
      </c>
      <c r="G4" s="2">
        <v>3</v>
      </c>
      <c r="H4" s="2">
        <f>25+5+2</f>
        <v>32</v>
      </c>
      <c r="I4" s="2">
        <f>10+2+7</f>
        <v>19</v>
      </c>
      <c r="J4" s="2">
        <f t="shared" ref="J4:J11" si="0">E4*2+F4</f>
        <v>17</v>
      </c>
      <c r="K4" s="4">
        <f t="shared" ref="K4:K11" si="1">H4/D4</f>
        <v>2.6666666666666665</v>
      </c>
      <c r="L4" s="2">
        <v>3</v>
      </c>
      <c r="M4" s="4">
        <f t="shared" ref="M4:M11" si="2">I4/D4</f>
        <v>1.5833333333333333</v>
      </c>
      <c r="N4" s="2"/>
      <c r="O4" s="5">
        <v>11</v>
      </c>
    </row>
    <row r="5" spans="1:15">
      <c r="A5" s="2">
        <v>3</v>
      </c>
      <c r="B5" s="2" t="s">
        <v>18</v>
      </c>
      <c r="C5" s="2" t="s">
        <v>19</v>
      </c>
      <c r="D5" s="2">
        <v>12</v>
      </c>
      <c r="E5" s="2">
        <v>8</v>
      </c>
      <c r="F5" s="2">
        <v>0</v>
      </c>
      <c r="G5" s="2">
        <v>4</v>
      </c>
      <c r="H5" s="2">
        <f>27+2+13</f>
        <v>42</v>
      </c>
      <c r="I5" s="2">
        <f>10+5+4</f>
        <v>19</v>
      </c>
      <c r="J5" s="2">
        <f t="shared" si="0"/>
        <v>16</v>
      </c>
      <c r="K5" s="4">
        <f t="shared" si="1"/>
        <v>3.5</v>
      </c>
      <c r="L5" s="2">
        <v>4</v>
      </c>
      <c r="M5" s="4">
        <f t="shared" si="2"/>
        <v>1.5833333333333333</v>
      </c>
      <c r="N5" s="2"/>
      <c r="O5" s="5">
        <v>9</v>
      </c>
    </row>
    <row r="6" spans="1:15">
      <c r="A6" s="2">
        <v>4</v>
      </c>
      <c r="B6" s="2" t="s">
        <v>26</v>
      </c>
      <c r="C6" s="2" t="s">
        <v>27</v>
      </c>
      <c r="D6" s="2">
        <v>12</v>
      </c>
      <c r="E6" s="2">
        <v>4</v>
      </c>
      <c r="F6" s="2">
        <v>2</v>
      </c>
      <c r="G6" s="2">
        <v>6</v>
      </c>
      <c r="H6" s="2">
        <f>16+1+4</f>
        <v>21</v>
      </c>
      <c r="I6" s="2">
        <f>10+8+13</f>
        <v>31</v>
      </c>
      <c r="J6" s="2">
        <f t="shared" si="0"/>
        <v>10</v>
      </c>
      <c r="K6" s="4">
        <f t="shared" si="1"/>
        <v>1.75</v>
      </c>
      <c r="L6" s="2">
        <v>3</v>
      </c>
      <c r="M6" s="4">
        <f t="shared" si="2"/>
        <v>2.5833333333333335</v>
      </c>
      <c r="N6" s="2"/>
      <c r="O6" s="5">
        <v>7</v>
      </c>
    </row>
    <row r="7" spans="1:15">
      <c r="A7" s="2">
        <v>5</v>
      </c>
      <c r="B7" s="2" t="s">
        <v>16</v>
      </c>
      <c r="C7" s="2" t="s">
        <v>17</v>
      </c>
      <c r="D7" s="2">
        <v>12</v>
      </c>
      <c r="E7" s="2">
        <v>9</v>
      </c>
      <c r="F7" s="2">
        <v>1</v>
      </c>
      <c r="G7" s="2">
        <v>2</v>
      </c>
      <c r="H7" s="2">
        <f>25+17</f>
        <v>42</v>
      </c>
      <c r="I7" s="2">
        <f>19+2</f>
        <v>21</v>
      </c>
      <c r="J7" s="2">
        <f t="shared" si="0"/>
        <v>19</v>
      </c>
      <c r="K7" s="4">
        <f t="shared" si="1"/>
        <v>3.5</v>
      </c>
      <c r="L7" s="2">
        <v>4</v>
      </c>
      <c r="M7" s="4">
        <f t="shared" si="2"/>
        <v>1.75</v>
      </c>
      <c r="N7" s="2"/>
      <c r="O7" s="5">
        <v>5</v>
      </c>
    </row>
    <row r="8" spans="1:15">
      <c r="A8" s="2">
        <v>6</v>
      </c>
      <c r="B8" s="2" t="s">
        <v>23</v>
      </c>
      <c r="C8" s="2" t="s">
        <v>46</v>
      </c>
      <c r="D8" s="2">
        <v>12</v>
      </c>
      <c r="E8" s="2">
        <v>4</v>
      </c>
      <c r="F8" s="2">
        <v>3</v>
      </c>
      <c r="G8" s="2">
        <v>5</v>
      </c>
      <c r="H8" s="2">
        <f>10+10</f>
        <v>20</v>
      </c>
      <c r="I8" s="2">
        <f>16+8</f>
        <v>24</v>
      </c>
      <c r="J8" s="2">
        <f t="shared" si="0"/>
        <v>11</v>
      </c>
      <c r="K8" s="4">
        <f t="shared" si="1"/>
        <v>1.6666666666666667</v>
      </c>
      <c r="L8" s="2">
        <v>1</v>
      </c>
      <c r="M8" s="4">
        <f t="shared" si="2"/>
        <v>2</v>
      </c>
      <c r="N8" s="2"/>
      <c r="O8" s="5">
        <v>4</v>
      </c>
    </row>
    <row r="9" spans="1:15">
      <c r="A9" s="2">
        <v>7</v>
      </c>
      <c r="B9" s="2" t="s">
        <v>23</v>
      </c>
      <c r="C9" s="2" t="s">
        <v>22</v>
      </c>
      <c r="D9" s="2">
        <v>12</v>
      </c>
      <c r="E9" s="2">
        <v>2</v>
      </c>
      <c r="F9" s="2">
        <v>1</v>
      </c>
      <c r="G9" s="2">
        <v>9</v>
      </c>
      <c r="H9" s="2">
        <v>12</v>
      </c>
      <c r="I9" s="2">
        <f>26+9</f>
        <v>35</v>
      </c>
      <c r="J9" s="2">
        <f t="shared" si="0"/>
        <v>5</v>
      </c>
      <c r="K9" s="4">
        <f t="shared" si="1"/>
        <v>1</v>
      </c>
      <c r="L9" s="2">
        <v>2</v>
      </c>
      <c r="M9" s="4">
        <f t="shared" si="2"/>
        <v>2.9166666666666665</v>
      </c>
      <c r="N9" s="2"/>
      <c r="O9" s="5">
        <v>3</v>
      </c>
    </row>
    <row r="10" spans="1:15">
      <c r="A10" s="2">
        <v>8</v>
      </c>
      <c r="B10" s="2" t="s">
        <v>21</v>
      </c>
      <c r="C10" s="2" t="s">
        <v>22</v>
      </c>
      <c r="D10" s="2">
        <v>12</v>
      </c>
      <c r="E10" s="2">
        <v>2</v>
      </c>
      <c r="F10" s="2">
        <v>3</v>
      </c>
      <c r="G10" s="2">
        <v>7</v>
      </c>
      <c r="H10" s="2">
        <v>17</v>
      </c>
      <c r="I10" s="2">
        <f>28+10</f>
        <v>38</v>
      </c>
      <c r="J10" s="2">
        <f t="shared" si="0"/>
        <v>7</v>
      </c>
      <c r="K10" s="4">
        <f t="shared" si="1"/>
        <v>1.4166666666666667</v>
      </c>
      <c r="L10" s="2">
        <v>0</v>
      </c>
      <c r="M10" s="4">
        <f t="shared" si="2"/>
        <v>3.1666666666666665</v>
      </c>
      <c r="N10" s="2"/>
      <c r="O10" s="5">
        <v>2</v>
      </c>
    </row>
    <row r="11" spans="1:15">
      <c r="A11" s="2">
        <v>9</v>
      </c>
      <c r="B11" s="2" t="s">
        <v>20</v>
      </c>
      <c r="C11" s="2" t="s">
        <v>19</v>
      </c>
      <c r="D11" s="2">
        <v>12</v>
      </c>
      <c r="E11" s="2">
        <v>1</v>
      </c>
      <c r="F11" s="2">
        <v>1</v>
      </c>
      <c r="G11" s="2">
        <v>10</v>
      </c>
      <c r="H11" s="2">
        <v>15</v>
      </c>
      <c r="I11" s="2">
        <v>45</v>
      </c>
      <c r="J11" s="2">
        <f t="shared" si="0"/>
        <v>3</v>
      </c>
      <c r="K11" s="4">
        <f t="shared" si="1"/>
        <v>1.25</v>
      </c>
      <c r="L11" s="2">
        <v>0</v>
      </c>
      <c r="M11" s="4">
        <f t="shared" si="2"/>
        <v>3.75</v>
      </c>
      <c r="N11" s="2"/>
      <c r="O11" s="5">
        <v>1</v>
      </c>
    </row>
    <row r="12" spans="1:15">
      <c r="D12">
        <f>SUM(D3:D11)/2</f>
        <v>54</v>
      </c>
      <c r="H12">
        <f>SUM(H3:H11)</f>
        <v>246</v>
      </c>
      <c r="I12">
        <f>SUM(I3:I11)</f>
        <v>246</v>
      </c>
    </row>
    <row r="13" spans="1:15">
      <c r="G13">
        <f>H12/D12</f>
        <v>4.5555555555555554</v>
      </c>
    </row>
    <row r="15" spans="1:15" ht="23.25">
      <c r="E15" s="1" t="s">
        <v>47</v>
      </c>
    </row>
    <row r="16" spans="1:15">
      <c r="A16" s="6" t="s">
        <v>0</v>
      </c>
      <c r="B16" s="7" t="s">
        <v>1</v>
      </c>
      <c r="C16" s="6" t="s">
        <v>2</v>
      </c>
      <c r="D16" s="7" t="s">
        <v>3</v>
      </c>
      <c r="E16" s="6" t="s">
        <v>4</v>
      </c>
      <c r="F16" s="6" t="s">
        <v>5</v>
      </c>
      <c r="G16" s="6" t="s">
        <v>6</v>
      </c>
      <c r="H16" s="13" t="s">
        <v>7</v>
      </c>
      <c r="I16" s="13" t="s">
        <v>30</v>
      </c>
      <c r="J16" s="6" t="s">
        <v>8</v>
      </c>
      <c r="K16" s="6" t="s">
        <v>9</v>
      </c>
      <c r="L16" s="6" t="s">
        <v>10</v>
      </c>
      <c r="M16" s="6" t="s">
        <v>11</v>
      </c>
      <c r="N16" s="6" t="s">
        <v>12</v>
      </c>
      <c r="O16" s="6" t="s">
        <v>13</v>
      </c>
    </row>
    <row r="17" spans="1:15">
      <c r="A17" s="2">
        <v>1</v>
      </c>
      <c r="B17" s="9" t="s">
        <v>29</v>
      </c>
      <c r="C17" s="9" t="s">
        <v>15</v>
      </c>
      <c r="D17" s="2">
        <f>34+12</f>
        <v>46</v>
      </c>
      <c r="E17" s="2">
        <v>28</v>
      </c>
      <c r="F17" s="2">
        <v>7</v>
      </c>
      <c r="G17" s="2">
        <v>11</v>
      </c>
      <c r="H17" s="2">
        <f>107+32</f>
        <v>139</v>
      </c>
      <c r="I17" s="2">
        <f>60+19</f>
        <v>79</v>
      </c>
      <c r="J17" s="2">
        <f>2*E17+F17</f>
        <v>63</v>
      </c>
      <c r="K17" s="4">
        <f t="shared" ref="K17:K28" si="3">H17/D17</f>
        <v>3.0217391304347827</v>
      </c>
      <c r="L17" s="2">
        <v>9</v>
      </c>
      <c r="M17" s="4">
        <f t="shared" ref="M17:M28" si="4">I17/D17</f>
        <v>1.7173913043478262</v>
      </c>
      <c r="N17" s="4">
        <f>8/4</f>
        <v>2</v>
      </c>
      <c r="O17" s="5">
        <f>26+11</f>
        <v>37</v>
      </c>
    </row>
    <row r="18" spans="1:15">
      <c r="A18" s="2">
        <v>2</v>
      </c>
      <c r="B18" s="2" t="s">
        <v>18</v>
      </c>
      <c r="C18" s="2" t="s">
        <v>19</v>
      </c>
      <c r="D18" s="2">
        <f>43+12</f>
        <v>55</v>
      </c>
      <c r="E18" s="2">
        <v>31</v>
      </c>
      <c r="F18" s="2">
        <v>6</v>
      </c>
      <c r="G18" s="2">
        <v>18</v>
      </c>
      <c r="H18" s="2">
        <f>146+42</f>
        <v>188</v>
      </c>
      <c r="I18" s="2">
        <f>75+19</f>
        <v>94</v>
      </c>
      <c r="J18" s="2">
        <f>2*E18+F18</f>
        <v>68</v>
      </c>
      <c r="K18" s="4">
        <f t="shared" si="3"/>
        <v>3.418181818181818</v>
      </c>
      <c r="L18" s="2">
        <v>15</v>
      </c>
      <c r="M18" s="4">
        <f t="shared" si="4"/>
        <v>1.709090909090909</v>
      </c>
      <c r="N18" s="4">
        <f>16/5</f>
        <v>3.2</v>
      </c>
      <c r="O18" s="5">
        <f>24+9</f>
        <v>33</v>
      </c>
    </row>
    <row r="19" spans="1:15">
      <c r="A19" s="2">
        <v>3</v>
      </c>
      <c r="B19" s="9" t="s">
        <v>32</v>
      </c>
      <c r="C19" s="9" t="s">
        <v>17</v>
      </c>
      <c r="D19" s="2">
        <v>37</v>
      </c>
      <c r="E19" s="2">
        <v>26</v>
      </c>
      <c r="F19" s="2">
        <v>3</v>
      </c>
      <c r="G19" s="2">
        <v>8</v>
      </c>
      <c r="H19" s="2">
        <f>72+45</f>
        <v>117</v>
      </c>
      <c r="I19" s="2">
        <f>51+14</f>
        <v>65</v>
      </c>
      <c r="J19" s="2">
        <f>2*E19+F19</f>
        <v>55</v>
      </c>
      <c r="K19" s="4">
        <f t="shared" si="3"/>
        <v>3.1621621621621623</v>
      </c>
      <c r="L19" s="2">
        <v>8</v>
      </c>
      <c r="M19" s="4">
        <f t="shared" si="4"/>
        <v>1.7567567567567568</v>
      </c>
      <c r="N19" s="4">
        <f>6/3</f>
        <v>2</v>
      </c>
      <c r="O19" s="5">
        <f>18+14</f>
        <v>32</v>
      </c>
    </row>
    <row r="20" spans="1:15">
      <c r="A20" s="2">
        <v>4</v>
      </c>
      <c r="B20" s="2" t="s">
        <v>16</v>
      </c>
      <c r="C20" s="2" t="s">
        <v>17</v>
      </c>
      <c r="D20" s="2">
        <v>52</v>
      </c>
      <c r="E20" s="2">
        <v>32</v>
      </c>
      <c r="F20" s="2">
        <v>10</v>
      </c>
      <c r="G20" s="2">
        <v>10</v>
      </c>
      <c r="H20" s="2">
        <f>128+42</f>
        <v>170</v>
      </c>
      <c r="I20" s="2">
        <f>67+21</f>
        <v>88</v>
      </c>
      <c r="J20" s="2">
        <f>2*E20+F20</f>
        <v>74</v>
      </c>
      <c r="K20" s="4">
        <f t="shared" si="3"/>
        <v>3.2692307692307692</v>
      </c>
      <c r="L20" s="2">
        <v>15</v>
      </c>
      <c r="M20" s="4">
        <f t="shared" si="4"/>
        <v>1.6923076923076923</v>
      </c>
      <c r="N20" s="4">
        <f>19/5</f>
        <v>3.8</v>
      </c>
      <c r="O20" s="5">
        <v>26</v>
      </c>
    </row>
    <row r="21" spans="1:15">
      <c r="A21" s="2">
        <v>5</v>
      </c>
      <c r="B21" s="2" t="s">
        <v>26</v>
      </c>
      <c r="C21" s="2" t="s">
        <v>27</v>
      </c>
      <c r="D21" s="2">
        <v>33</v>
      </c>
      <c r="E21" s="2">
        <v>13</v>
      </c>
      <c r="F21" s="2">
        <v>7</v>
      </c>
      <c r="G21" s="2">
        <v>13</v>
      </c>
      <c r="H21" s="2">
        <f>49+21</f>
        <v>70</v>
      </c>
      <c r="I21" s="2">
        <f>45+31</f>
        <v>76</v>
      </c>
      <c r="J21" s="2">
        <f>E21*2+F21</f>
        <v>33</v>
      </c>
      <c r="K21" s="4">
        <f t="shared" si="3"/>
        <v>2.1212121212121211</v>
      </c>
      <c r="L21" s="2">
        <v>6</v>
      </c>
      <c r="M21" s="4">
        <f t="shared" si="4"/>
        <v>2.3030303030303032</v>
      </c>
      <c r="N21" s="4">
        <f>8/3</f>
        <v>2.6666666666666665</v>
      </c>
      <c r="O21" s="5">
        <v>21</v>
      </c>
    </row>
    <row r="22" spans="1:15">
      <c r="A22" s="2">
        <v>6</v>
      </c>
      <c r="B22" s="2" t="s">
        <v>16</v>
      </c>
      <c r="C22" s="2" t="s">
        <v>39</v>
      </c>
      <c r="D22" s="2">
        <v>13</v>
      </c>
      <c r="E22" s="2">
        <v>8</v>
      </c>
      <c r="F22" s="2">
        <v>3</v>
      </c>
      <c r="G22" s="2">
        <v>2</v>
      </c>
      <c r="H22" s="2">
        <f>27+11+4</f>
        <v>42</v>
      </c>
      <c r="I22" s="2">
        <f>15+6+6</f>
        <v>27</v>
      </c>
      <c r="J22" s="2">
        <f>E22*2+F22</f>
        <v>19</v>
      </c>
      <c r="K22" s="4">
        <f t="shared" si="3"/>
        <v>3.2307692307692308</v>
      </c>
      <c r="L22" s="2">
        <v>2</v>
      </c>
      <c r="M22" s="4">
        <f t="shared" si="4"/>
        <v>2.0769230769230771</v>
      </c>
      <c r="N22" s="4">
        <f>2/1</f>
        <v>2</v>
      </c>
      <c r="O22" s="5">
        <v>11</v>
      </c>
    </row>
    <row r="23" spans="1:15">
      <c r="A23" s="2">
        <v>7</v>
      </c>
      <c r="B23" s="2" t="s">
        <v>21</v>
      </c>
      <c r="C23" s="2" t="s">
        <v>22</v>
      </c>
      <c r="D23" s="2">
        <v>41</v>
      </c>
      <c r="E23" s="2">
        <v>12</v>
      </c>
      <c r="F23" s="2">
        <v>3</v>
      </c>
      <c r="G23" s="2">
        <v>26</v>
      </c>
      <c r="H23" s="2">
        <v>67</v>
      </c>
      <c r="I23" s="2">
        <f>118+38</f>
        <v>156</v>
      </c>
      <c r="J23" s="2">
        <f>2*E23+F23</f>
        <v>27</v>
      </c>
      <c r="K23" s="4">
        <f t="shared" si="3"/>
        <v>1.6341463414634145</v>
      </c>
      <c r="L23" s="2">
        <v>4</v>
      </c>
      <c r="M23" s="4">
        <f t="shared" si="4"/>
        <v>3.8048780487804876</v>
      </c>
      <c r="N23" s="4">
        <f>22/4</f>
        <v>5.5</v>
      </c>
      <c r="O23" s="5">
        <v>10</v>
      </c>
    </row>
    <row r="24" spans="1:15">
      <c r="A24" s="2">
        <v>8</v>
      </c>
      <c r="B24" s="2" t="s">
        <v>23</v>
      </c>
      <c r="C24" s="2" t="s">
        <v>22</v>
      </c>
      <c r="D24" s="2">
        <v>41</v>
      </c>
      <c r="E24" s="2">
        <v>7</v>
      </c>
      <c r="F24" s="2">
        <v>6</v>
      </c>
      <c r="G24" s="2">
        <f>19+9</f>
        <v>28</v>
      </c>
      <c r="H24" s="2">
        <f>32+12</f>
        <v>44</v>
      </c>
      <c r="I24" s="2">
        <v>115</v>
      </c>
      <c r="J24" s="2">
        <f>2*E24+F24</f>
        <v>20</v>
      </c>
      <c r="K24" s="4">
        <f t="shared" si="3"/>
        <v>1.0731707317073171</v>
      </c>
      <c r="L24" s="2">
        <v>7</v>
      </c>
      <c r="M24" s="4">
        <f t="shared" si="4"/>
        <v>2.8048780487804876</v>
      </c>
      <c r="N24" s="4">
        <f>24/4</f>
        <v>6</v>
      </c>
      <c r="O24" s="5">
        <v>10</v>
      </c>
    </row>
    <row r="25" spans="1:15">
      <c r="A25" s="2">
        <v>9</v>
      </c>
      <c r="B25" s="2" t="s">
        <v>20</v>
      </c>
      <c r="C25" s="2" t="s">
        <v>19</v>
      </c>
      <c r="D25" s="2">
        <v>50</v>
      </c>
      <c r="E25" s="2">
        <v>2</v>
      </c>
      <c r="F25" s="2">
        <v>5</v>
      </c>
      <c r="G25" s="2">
        <v>43</v>
      </c>
      <c r="H25" s="2">
        <v>40</v>
      </c>
      <c r="I25" s="2">
        <v>185</v>
      </c>
      <c r="J25" s="2">
        <f>2*E25+F25</f>
        <v>9</v>
      </c>
      <c r="K25" s="4">
        <f t="shared" si="3"/>
        <v>0.8</v>
      </c>
      <c r="L25" s="2">
        <v>2</v>
      </c>
      <c r="M25" s="4">
        <f t="shared" si="4"/>
        <v>3.7</v>
      </c>
      <c r="N25" s="4">
        <f>37/5</f>
        <v>7.4</v>
      </c>
      <c r="O25" s="5">
        <v>5</v>
      </c>
    </row>
    <row r="26" spans="1:15">
      <c r="A26" s="2">
        <v>10</v>
      </c>
      <c r="B26" s="9" t="s">
        <v>33</v>
      </c>
      <c r="C26" s="9" t="s">
        <v>34</v>
      </c>
      <c r="D26" s="2">
        <v>12</v>
      </c>
      <c r="E26" s="2">
        <v>7</v>
      </c>
      <c r="F26" s="2">
        <v>1</v>
      </c>
      <c r="G26" s="2">
        <v>4</v>
      </c>
      <c r="H26" s="2">
        <f>25+11+6</f>
        <v>42</v>
      </c>
      <c r="I26" s="2">
        <f>11+9+11</f>
        <v>31</v>
      </c>
      <c r="J26" s="2">
        <f>E26*2+F26</f>
        <v>15</v>
      </c>
      <c r="K26" s="4">
        <f t="shared" si="3"/>
        <v>3.5</v>
      </c>
      <c r="L26" s="2">
        <v>1</v>
      </c>
      <c r="M26" s="4">
        <f t="shared" si="4"/>
        <v>2.5833333333333335</v>
      </c>
      <c r="N26" s="4">
        <f>4/1</f>
        <v>4</v>
      </c>
      <c r="O26" s="5">
        <v>4</v>
      </c>
    </row>
    <row r="27" spans="1:15">
      <c r="A27" s="2">
        <v>11</v>
      </c>
      <c r="B27" s="2" t="s">
        <v>41</v>
      </c>
      <c r="C27" s="2" t="s">
        <v>42</v>
      </c>
      <c r="D27" s="2">
        <v>12</v>
      </c>
      <c r="E27" s="2">
        <v>4</v>
      </c>
      <c r="F27" s="2">
        <v>1</v>
      </c>
      <c r="G27" s="2">
        <v>7</v>
      </c>
      <c r="H27" s="2">
        <f>15+12</f>
        <v>27</v>
      </c>
      <c r="I27" s="2">
        <f>19+7</f>
        <v>26</v>
      </c>
      <c r="J27" s="2">
        <f>E27*2+F27</f>
        <v>9</v>
      </c>
      <c r="K27" s="4">
        <f t="shared" si="3"/>
        <v>2.25</v>
      </c>
      <c r="L27" s="2">
        <v>2</v>
      </c>
      <c r="M27" s="4">
        <f t="shared" si="4"/>
        <v>2.1666666666666665</v>
      </c>
      <c r="N27" s="4">
        <f>6/1</f>
        <v>6</v>
      </c>
      <c r="O27" s="5">
        <v>4</v>
      </c>
    </row>
    <row r="28" spans="1:15">
      <c r="A28" s="2">
        <v>12</v>
      </c>
      <c r="B28" s="2" t="s">
        <v>23</v>
      </c>
      <c r="C28" s="2" t="s">
        <v>46</v>
      </c>
      <c r="D28" s="2">
        <v>12</v>
      </c>
      <c r="E28" s="2">
        <v>4</v>
      </c>
      <c r="F28" s="2">
        <v>3</v>
      </c>
      <c r="G28" s="2">
        <v>5</v>
      </c>
      <c r="H28" s="2">
        <f>10+10</f>
        <v>20</v>
      </c>
      <c r="I28" s="2">
        <f>16+8</f>
        <v>24</v>
      </c>
      <c r="J28" s="2">
        <f>E28*2+F28</f>
        <v>11</v>
      </c>
      <c r="K28" s="4">
        <f t="shared" si="3"/>
        <v>1.6666666666666667</v>
      </c>
      <c r="L28" s="2">
        <v>1</v>
      </c>
      <c r="M28" s="4">
        <f t="shared" si="4"/>
        <v>2</v>
      </c>
      <c r="N28" s="4">
        <f>6/1</f>
        <v>6</v>
      </c>
      <c r="O28" s="5">
        <v>4</v>
      </c>
    </row>
    <row r="29" spans="1:15">
      <c r="D29">
        <f>SUM(D17:D28)/2</f>
        <v>202</v>
      </c>
      <c r="H29">
        <f>SUM(H17:H28)</f>
        <v>966</v>
      </c>
      <c r="I29">
        <f>SUM(I17:I28)</f>
        <v>966</v>
      </c>
    </row>
    <row r="30" spans="1:15">
      <c r="G30">
        <f>H29/D29</f>
        <v>4.782178217821782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workbookViewId="0">
      <selection activeCell="N29" sqref="N29"/>
    </sheetView>
  </sheetViews>
  <sheetFormatPr defaultRowHeight="15"/>
  <sheetData>
    <row r="1" spans="1:15" ht="23.25">
      <c r="E1" s="1" t="s">
        <v>48</v>
      </c>
    </row>
    <row r="2" spans="1:1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13" t="s">
        <v>30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>
      <c r="A3" s="2">
        <v>1</v>
      </c>
      <c r="B3" s="2" t="s">
        <v>49</v>
      </c>
      <c r="C3" s="2" t="s">
        <v>50</v>
      </c>
      <c r="D3" s="2">
        <v>12</v>
      </c>
      <c r="E3" s="2">
        <v>9</v>
      </c>
      <c r="F3" s="2">
        <v>2</v>
      </c>
      <c r="G3" s="2">
        <v>1</v>
      </c>
      <c r="H3" s="2">
        <f>14+5+9+9</f>
        <v>37</v>
      </c>
      <c r="I3" s="2">
        <f>2+2+8+5</f>
        <v>17</v>
      </c>
      <c r="J3" s="2">
        <f>2*E3+F3</f>
        <v>20</v>
      </c>
      <c r="K3" s="4">
        <f>H3/D3</f>
        <v>3.0833333333333335</v>
      </c>
      <c r="L3" s="2">
        <v>4</v>
      </c>
      <c r="M3" s="4">
        <f>I3/D3</f>
        <v>1.4166666666666667</v>
      </c>
      <c r="N3" s="2"/>
      <c r="O3" s="5">
        <v>17</v>
      </c>
    </row>
    <row r="4" spans="1:15">
      <c r="A4" s="2">
        <v>2</v>
      </c>
      <c r="B4" s="2" t="s">
        <v>36</v>
      </c>
      <c r="C4" s="2" t="s">
        <v>19</v>
      </c>
      <c r="D4" s="2">
        <v>11</v>
      </c>
      <c r="E4" s="2">
        <v>4</v>
      </c>
      <c r="F4" s="2">
        <v>4</v>
      </c>
      <c r="G4" s="2">
        <v>3</v>
      </c>
      <c r="H4" s="2">
        <f>16+8+11+5</f>
        <v>40</v>
      </c>
      <c r="I4" s="2">
        <f>8+2+10+9</f>
        <v>29</v>
      </c>
      <c r="J4" s="2">
        <f t="shared" ref="J4:J13" si="0">2*E4+F4</f>
        <v>12</v>
      </c>
      <c r="K4" s="4">
        <f t="shared" ref="K4:K13" si="1">H4/D4</f>
        <v>3.6363636363636362</v>
      </c>
      <c r="L4" s="2">
        <v>1</v>
      </c>
      <c r="M4" s="4">
        <f t="shared" ref="M4:M13" si="2">I4/D4</f>
        <v>2.6363636363636362</v>
      </c>
      <c r="N4" s="2"/>
      <c r="O4" s="5">
        <v>14</v>
      </c>
    </row>
    <row r="5" spans="1:15">
      <c r="A5" s="2">
        <v>3</v>
      </c>
      <c r="B5" s="2" t="s">
        <v>51</v>
      </c>
      <c r="C5" s="2" t="s">
        <v>39</v>
      </c>
      <c r="D5" s="2">
        <v>12</v>
      </c>
      <c r="E5" s="2">
        <v>7</v>
      </c>
      <c r="F5" s="2">
        <v>2</v>
      </c>
      <c r="G5" s="2">
        <v>3</v>
      </c>
      <c r="H5" s="2">
        <f>18+12+10+10</f>
        <v>50</v>
      </c>
      <c r="I5" s="2">
        <f>10+9+11+3</f>
        <v>33</v>
      </c>
      <c r="J5" s="2">
        <f t="shared" si="0"/>
        <v>16</v>
      </c>
      <c r="K5" s="4">
        <f t="shared" si="1"/>
        <v>4.166666666666667</v>
      </c>
      <c r="L5" s="2">
        <v>0</v>
      </c>
      <c r="M5" s="4">
        <f t="shared" si="2"/>
        <v>2.75</v>
      </c>
      <c r="N5" s="2"/>
      <c r="O5" s="5">
        <v>12</v>
      </c>
    </row>
    <row r="6" spans="1:15">
      <c r="A6" s="2">
        <v>4</v>
      </c>
      <c r="B6" s="2" t="s">
        <v>40</v>
      </c>
      <c r="C6" s="2" t="s">
        <v>17</v>
      </c>
      <c r="D6" s="2">
        <v>11</v>
      </c>
      <c r="E6" s="2">
        <v>6</v>
      </c>
      <c r="F6" s="2">
        <v>0</v>
      </c>
      <c r="G6" s="2">
        <v>5</v>
      </c>
      <c r="H6" s="2">
        <f>15+8+8+3</f>
        <v>34</v>
      </c>
      <c r="I6" s="2">
        <f>10+2+10+10</f>
        <v>32</v>
      </c>
      <c r="J6" s="2">
        <f t="shared" si="0"/>
        <v>12</v>
      </c>
      <c r="K6" s="4">
        <f t="shared" si="1"/>
        <v>3.0909090909090908</v>
      </c>
      <c r="L6" s="2">
        <v>2</v>
      </c>
      <c r="M6" s="4">
        <f t="shared" si="2"/>
        <v>2.9090909090909092</v>
      </c>
      <c r="N6" s="2"/>
      <c r="O6" s="5">
        <v>10</v>
      </c>
    </row>
    <row r="7" spans="1:15">
      <c r="A7" s="2">
        <v>5</v>
      </c>
      <c r="B7" s="2" t="s">
        <v>14</v>
      </c>
      <c r="C7" s="2" t="s">
        <v>15</v>
      </c>
      <c r="D7" s="2">
        <v>11</v>
      </c>
      <c r="E7" s="2">
        <v>5</v>
      </c>
      <c r="F7" s="2">
        <v>1</v>
      </c>
      <c r="G7" s="2">
        <v>5</v>
      </c>
      <c r="H7" s="2">
        <f>14+9+7</f>
        <v>30</v>
      </c>
      <c r="I7" s="2">
        <f>15+12</f>
        <v>27</v>
      </c>
      <c r="J7" s="2">
        <f t="shared" si="0"/>
        <v>11</v>
      </c>
      <c r="K7" s="4">
        <f t="shared" si="1"/>
        <v>2.7272727272727271</v>
      </c>
      <c r="L7" s="2">
        <v>1</v>
      </c>
      <c r="M7" s="4">
        <f t="shared" si="2"/>
        <v>2.4545454545454546</v>
      </c>
      <c r="N7" s="2"/>
      <c r="O7" s="5">
        <v>8</v>
      </c>
    </row>
    <row r="8" spans="1:15">
      <c r="A8" s="2">
        <v>6</v>
      </c>
      <c r="B8" s="2" t="s">
        <v>41</v>
      </c>
      <c r="C8" s="2" t="s">
        <v>42</v>
      </c>
      <c r="D8" s="2">
        <v>9</v>
      </c>
      <c r="E8" s="2">
        <v>2</v>
      </c>
      <c r="F8" s="2">
        <v>2</v>
      </c>
      <c r="G8" s="2">
        <v>5</v>
      </c>
      <c r="H8" s="2">
        <f>11+2+2</f>
        <v>15</v>
      </c>
      <c r="I8" s="2">
        <f>8+15</f>
        <v>23</v>
      </c>
      <c r="J8" s="2">
        <f t="shared" si="0"/>
        <v>6</v>
      </c>
      <c r="K8" s="4">
        <f t="shared" si="1"/>
        <v>1.6666666666666667</v>
      </c>
      <c r="L8" s="2">
        <v>2</v>
      </c>
      <c r="M8" s="4">
        <f t="shared" si="2"/>
        <v>2.5555555555555554</v>
      </c>
      <c r="N8" s="2"/>
      <c r="O8" s="5">
        <v>6</v>
      </c>
    </row>
    <row r="9" spans="1:15">
      <c r="A9" s="2">
        <v>7</v>
      </c>
      <c r="B9" s="2" t="s">
        <v>26</v>
      </c>
      <c r="C9" s="2" t="s">
        <v>27</v>
      </c>
      <c r="D9" s="2">
        <v>10</v>
      </c>
      <c r="E9" s="2">
        <v>4</v>
      </c>
      <c r="F9" s="2">
        <v>1</v>
      </c>
      <c r="G9" s="2">
        <v>5</v>
      </c>
      <c r="H9" s="2">
        <f>15+2+5</f>
        <v>22</v>
      </c>
      <c r="I9" s="2">
        <f>10+7</f>
        <v>17</v>
      </c>
      <c r="J9" s="2">
        <f t="shared" si="0"/>
        <v>9</v>
      </c>
      <c r="K9" s="4">
        <f t="shared" si="1"/>
        <v>2.2000000000000002</v>
      </c>
      <c r="L9" s="2">
        <v>2</v>
      </c>
      <c r="M9" s="4">
        <f t="shared" si="2"/>
        <v>1.7</v>
      </c>
      <c r="N9" s="2"/>
      <c r="O9" s="5">
        <v>5</v>
      </c>
    </row>
    <row r="10" spans="1:15">
      <c r="A10" s="2">
        <v>8</v>
      </c>
      <c r="B10" s="2" t="s">
        <v>51</v>
      </c>
      <c r="C10" s="2" t="s">
        <v>17</v>
      </c>
      <c r="D10" s="2">
        <v>10</v>
      </c>
      <c r="E10" s="2">
        <v>3</v>
      </c>
      <c r="F10" s="2">
        <v>2</v>
      </c>
      <c r="G10" s="2">
        <v>5</v>
      </c>
      <c r="H10" s="2">
        <f>15</f>
        <v>15</v>
      </c>
      <c r="I10" s="2">
        <f>16+7</f>
        <v>23</v>
      </c>
      <c r="J10" s="2">
        <f t="shared" si="0"/>
        <v>8</v>
      </c>
      <c r="K10" s="4">
        <f t="shared" si="1"/>
        <v>1.5</v>
      </c>
      <c r="L10" s="2">
        <v>2</v>
      </c>
      <c r="M10" s="4">
        <f t="shared" si="2"/>
        <v>2.2999999999999998</v>
      </c>
      <c r="N10" s="2"/>
      <c r="O10" s="5">
        <v>4</v>
      </c>
    </row>
    <row r="11" spans="1:15">
      <c r="A11" s="2">
        <v>9</v>
      </c>
      <c r="B11" s="2" t="s">
        <v>21</v>
      </c>
      <c r="C11" s="2" t="s">
        <v>22</v>
      </c>
      <c r="D11" s="2">
        <v>8</v>
      </c>
      <c r="E11" s="2">
        <v>3</v>
      </c>
      <c r="F11" s="2">
        <v>1</v>
      </c>
      <c r="G11" s="2">
        <v>4</v>
      </c>
      <c r="H11" s="2">
        <f>15</f>
        <v>15</v>
      </c>
      <c r="I11" s="2">
        <f>23+3</f>
        <v>26</v>
      </c>
      <c r="J11" s="2">
        <f t="shared" si="0"/>
        <v>7</v>
      </c>
      <c r="K11" s="4">
        <f t="shared" si="1"/>
        <v>1.875</v>
      </c>
      <c r="L11" s="2">
        <v>0</v>
      </c>
      <c r="M11" s="4">
        <f t="shared" si="2"/>
        <v>3.25</v>
      </c>
      <c r="N11" s="2"/>
      <c r="O11" s="5">
        <v>3</v>
      </c>
    </row>
    <row r="12" spans="1:15">
      <c r="A12" s="2">
        <v>10</v>
      </c>
      <c r="B12" s="2" t="s">
        <v>23</v>
      </c>
      <c r="C12" s="2" t="s">
        <v>22</v>
      </c>
      <c r="D12" s="2">
        <v>9</v>
      </c>
      <c r="E12" s="2">
        <v>3</v>
      </c>
      <c r="F12" s="2">
        <v>2</v>
      </c>
      <c r="G12" s="2">
        <v>4</v>
      </c>
      <c r="H12" s="2">
        <v>17</v>
      </c>
      <c r="I12" s="2">
        <v>22</v>
      </c>
      <c r="J12" s="2">
        <f t="shared" si="0"/>
        <v>8</v>
      </c>
      <c r="K12" s="4">
        <f t="shared" si="1"/>
        <v>1.8888888888888888</v>
      </c>
      <c r="L12" s="2">
        <v>1</v>
      </c>
      <c r="M12" s="4">
        <f t="shared" si="2"/>
        <v>2.4444444444444446</v>
      </c>
      <c r="N12" s="2"/>
      <c r="O12" s="5">
        <v>2</v>
      </c>
    </row>
    <row r="13" spans="1:15">
      <c r="A13" s="2">
        <v>11</v>
      </c>
      <c r="B13" s="2" t="s">
        <v>20</v>
      </c>
      <c r="C13" s="2" t="s">
        <v>19</v>
      </c>
      <c r="D13" s="2">
        <v>9</v>
      </c>
      <c r="E13" s="2">
        <v>0</v>
      </c>
      <c r="F13" s="2">
        <v>1</v>
      </c>
      <c r="G13" s="2">
        <v>8</v>
      </c>
      <c r="H13" s="2">
        <v>7</v>
      </c>
      <c r="I13" s="2">
        <v>33</v>
      </c>
      <c r="J13" s="2">
        <f t="shared" si="0"/>
        <v>1</v>
      </c>
      <c r="K13" s="4">
        <f t="shared" si="1"/>
        <v>0.77777777777777779</v>
      </c>
      <c r="L13" s="2">
        <v>0</v>
      </c>
      <c r="M13" s="4">
        <f t="shared" si="2"/>
        <v>3.6666666666666665</v>
      </c>
      <c r="N13" s="2"/>
      <c r="O13" s="5">
        <v>1</v>
      </c>
    </row>
    <row r="14" spans="1:15">
      <c r="D14">
        <f>SUM(D3:D13)/2</f>
        <v>56</v>
      </c>
      <c r="H14">
        <f>SUM(H3:H13)</f>
        <v>282</v>
      </c>
      <c r="I14">
        <f>SUM(I3:I13)</f>
        <v>282</v>
      </c>
    </row>
    <row r="15" spans="1:15">
      <c r="G15">
        <f>H14/D14</f>
        <v>5.0357142857142856</v>
      </c>
    </row>
    <row r="17" spans="1:15" ht="23.25">
      <c r="E17" s="1" t="s">
        <v>52</v>
      </c>
    </row>
    <row r="18" spans="1:15">
      <c r="A18" s="6" t="s">
        <v>0</v>
      </c>
      <c r="B18" s="7" t="s">
        <v>1</v>
      </c>
      <c r="C18" s="6" t="s">
        <v>2</v>
      </c>
      <c r="D18" s="7" t="s">
        <v>3</v>
      </c>
      <c r="E18" s="6" t="s">
        <v>4</v>
      </c>
      <c r="F18" s="6" t="s">
        <v>5</v>
      </c>
      <c r="G18" s="6" t="s">
        <v>6</v>
      </c>
      <c r="H18" s="13" t="s">
        <v>7</v>
      </c>
      <c r="I18" s="13" t="s">
        <v>30</v>
      </c>
      <c r="J18" s="6" t="s">
        <v>8</v>
      </c>
      <c r="K18" s="6" t="s">
        <v>9</v>
      </c>
      <c r="L18" s="6" t="s">
        <v>10</v>
      </c>
      <c r="M18" s="6" t="s">
        <v>11</v>
      </c>
      <c r="N18" s="6" t="s">
        <v>12</v>
      </c>
      <c r="O18" s="6" t="s">
        <v>13</v>
      </c>
    </row>
    <row r="19" spans="1:15">
      <c r="A19" s="2">
        <v>1</v>
      </c>
      <c r="B19" s="2" t="s">
        <v>18</v>
      </c>
      <c r="C19" s="2" t="s">
        <v>19</v>
      </c>
      <c r="D19" s="2">
        <v>66</v>
      </c>
      <c r="E19" s="2">
        <v>35</v>
      </c>
      <c r="F19" s="2">
        <v>10</v>
      </c>
      <c r="G19" s="2">
        <v>21</v>
      </c>
      <c r="H19" s="2">
        <f>188+40</f>
        <v>228</v>
      </c>
      <c r="I19" s="2">
        <f>29+94</f>
        <v>123</v>
      </c>
      <c r="J19" s="2">
        <f>E19*2+F19</f>
        <v>80</v>
      </c>
      <c r="K19" s="4">
        <f>H19/D19</f>
        <v>3.4545454545454546</v>
      </c>
      <c r="L19" s="2">
        <v>16</v>
      </c>
      <c r="M19" s="4">
        <f>I19/D19</f>
        <v>1.8636363636363635</v>
      </c>
      <c r="N19" s="4">
        <f>18/6</f>
        <v>3</v>
      </c>
      <c r="O19" s="5">
        <f>14+33</f>
        <v>47</v>
      </c>
    </row>
    <row r="20" spans="1:15">
      <c r="A20" s="2">
        <v>2</v>
      </c>
      <c r="B20" s="9" t="s">
        <v>29</v>
      </c>
      <c r="C20" s="9" t="s">
        <v>15</v>
      </c>
      <c r="D20" s="2">
        <f>46+11</f>
        <v>57</v>
      </c>
      <c r="E20" s="2">
        <v>33</v>
      </c>
      <c r="F20" s="2">
        <v>8</v>
      </c>
      <c r="G20" s="2">
        <v>16</v>
      </c>
      <c r="H20" s="2">
        <f>30+139</f>
        <v>169</v>
      </c>
      <c r="I20" s="2">
        <f>79+27</f>
        <v>106</v>
      </c>
      <c r="J20" s="2">
        <f>E20*2+F20</f>
        <v>74</v>
      </c>
      <c r="K20" s="4">
        <f>H20/D20</f>
        <v>2.9649122807017543</v>
      </c>
      <c r="L20" s="2">
        <v>10</v>
      </c>
      <c r="M20" s="4">
        <f>I20/D20</f>
        <v>1.8596491228070176</v>
      </c>
      <c r="N20" s="4">
        <f>13/5</f>
        <v>2.6</v>
      </c>
      <c r="O20" s="5">
        <f>37+8</f>
        <v>45</v>
      </c>
    </row>
    <row r="21" spans="1:15">
      <c r="A21" s="2">
        <v>3</v>
      </c>
      <c r="B21" s="9" t="s">
        <v>32</v>
      </c>
      <c r="C21" s="9" t="s">
        <v>17</v>
      </c>
      <c r="D21" s="2">
        <v>48</v>
      </c>
      <c r="E21" s="2">
        <v>32</v>
      </c>
      <c r="F21" s="2">
        <v>3</v>
      </c>
      <c r="G21" s="2">
        <v>13</v>
      </c>
      <c r="H21" s="2">
        <f>117+34</f>
        <v>151</v>
      </c>
      <c r="I21" s="2">
        <f>32+65</f>
        <v>97</v>
      </c>
      <c r="J21" s="2">
        <f t="shared" ref="J21:J23" si="3">E21*2+F21</f>
        <v>67</v>
      </c>
      <c r="K21" s="4">
        <f t="shared" ref="K21:K23" si="4">H21/D21</f>
        <v>3.1458333333333335</v>
      </c>
      <c r="L21" s="2">
        <v>10</v>
      </c>
      <c r="M21" s="4">
        <f t="shared" ref="M21:M23" si="5">I21/D21</f>
        <v>2.0208333333333335</v>
      </c>
      <c r="N21" s="4">
        <f>10/4</f>
        <v>2.5</v>
      </c>
      <c r="O21" s="5">
        <v>42</v>
      </c>
    </row>
    <row r="22" spans="1:15">
      <c r="A22" s="2">
        <v>4</v>
      </c>
      <c r="B22" s="2" t="s">
        <v>16</v>
      </c>
      <c r="C22" s="2" t="s">
        <v>17</v>
      </c>
      <c r="D22" s="2">
        <f>62</f>
        <v>62</v>
      </c>
      <c r="E22" s="2">
        <v>35</v>
      </c>
      <c r="F22" s="2">
        <v>12</v>
      </c>
      <c r="G22" s="2">
        <v>15</v>
      </c>
      <c r="H22" s="2">
        <f>15+170</f>
        <v>185</v>
      </c>
      <c r="I22" s="2">
        <f>88+23</f>
        <v>111</v>
      </c>
      <c r="J22" s="2">
        <f t="shared" si="3"/>
        <v>82</v>
      </c>
      <c r="K22" s="4">
        <f t="shared" si="4"/>
        <v>2.9838709677419355</v>
      </c>
      <c r="L22" s="2">
        <v>17</v>
      </c>
      <c r="M22" s="4">
        <f t="shared" si="5"/>
        <v>1.7903225806451613</v>
      </c>
      <c r="N22" s="4">
        <f>27/6</f>
        <v>4.5</v>
      </c>
      <c r="O22" s="5">
        <v>30</v>
      </c>
    </row>
    <row r="23" spans="1:15">
      <c r="A23" s="2">
        <v>5</v>
      </c>
      <c r="B23" s="2" t="s">
        <v>26</v>
      </c>
      <c r="C23" s="2" t="s">
        <v>27</v>
      </c>
      <c r="D23" s="2">
        <v>43</v>
      </c>
      <c r="E23" s="2">
        <v>17</v>
      </c>
      <c r="F23" s="2">
        <v>8</v>
      </c>
      <c r="G23" s="2">
        <v>18</v>
      </c>
      <c r="H23" s="2">
        <f>22+70</f>
        <v>92</v>
      </c>
      <c r="I23" s="2">
        <f>76+17</f>
        <v>93</v>
      </c>
      <c r="J23" s="2">
        <f t="shared" si="3"/>
        <v>42</v>
      </c>
      <c r="K23" s="4">
        <f t="shared" si="4"/>
        <v>2.13953488372093</v>
      </c>
      <c r="L23" s="2">
        <v>8</v>
      </c>
      <c r="M23" s="4">
        <f t="shared" si="5"/>
        <v>2.1627906976744184</v>
      </c>
      <c r="N23" s="4">
        <f>15/4</f>
        <v>3.75</v>
      </c>
      <c r="O23" s="5">
        <v>26</v>
      </c>
    </row>
    <row r="24" spans="1:15">
      <c r="A24" s="2">
        <v>6</v>
      </c>
      <c r="B24" s="2" t="s">
        <v>16</v>
      </c>
      <c r="C24" s="2" t="s">
        <v>39</v>
      </c>
      <c r="D24" s="2">
        <v>25</v>
      </c>
      <c r="E24" s="2">
        <v>15</v>
      </c>
      <c r="F24" s="2">
        <v>5</v>
      </c>
      <c r="G24" s="2">
        <v>5</v>
      </c>
      <c r="H24" s="2">
        <f>92</f>
        <v>92</v>
      </c>
      <c r="I24" s="2">
        <f>27+33</f>
        <v>60</v>
      </c>
      <c r="J24" s="2">
        <f>E24*2+F24</f>
        <v>35</v>
      </c>
      <c r="K24" s="4">
        <f t="shared" ref="K24:K31" si="6">H24/D24</f>
        <v>3.68</v>
      </c>
      <c r="L24" s="2">
        <v>2</v>
      </c>
      <c r="M24" s="4">
        <f t="shared" ref="M24:M31" si="7">I24/D24</f>
        <v>2.4</v>
      </c>
      <c r="N24" s="4">
        <f>5/2</f>
        <v>2.5</v>
      </c>
      <c r="O24" s="5">
        <v>23</v>
      </c>
    </row>
    <row r="25" spans="1:15">
      <c r="A25" s="2">
        <v>7</v>
      </c>
      <c r="B25" s="2" t="s">
        <v>49</v>
      </c>
      <c r="C25" s="2" t="s">
        <v>50</v>
      </c>
      <c r="D25" s="2">
        <v>12</v>
      </c>
      <c r="E25" s="2">
        <v>9</v>
      </c>
      <c r="F25" s="2">
        <v>2</v>
      </c>
      <c r="G25" s="2">
        <v>1</v>
      </c>
      <c r="H25" s="2">
        <f>14+5+9+9</f>
        <v>37</v>
      </c>
      <c r="I25" s="2">
        <f>2+2+8+5</f>
        <v>17</v>
      </c>
      <c r="J25" s="2">
        <f>2*E25+F25</f>
        <v>20</v>
      </c>
      <c r="K25" s="4">
        <f t="shared" si="6"/>
        <v>3.0833333333333335</v>
      </c>
      <c r="L25" s="2">
        <v>4</v>
      </c>
      <c r="M25" s="4">
        <f t="shared" si="7"/>
        <v>1.4166666666666667</v>
      </c>
      <c r="N25" s="4">
        <f>1/1</f>
        <v>1</v>
      </c>
      <c r="O25" s="5">
        <v>17</v>
      </c>
    </row>
    <row r="26" spans="1:15">
      <c r="A26" s="2">
        <v>8</v>
      </c>
      <c r="B26" s="2" t="s">
        <v>21</v>
      </c>
      <c r="C26" s="2" t="s">
        <v>22</v>
      </c>
      <c r="D26" s="2">
        <v>49</v>
      </c>
      <c r="E26" s="2">
        <v>15</v>
      </c>
      <c r="F26" s="2">
        <v>4</v>
      </c>
      <c r="G26" s="2">
        <v>30</v>
      </c>
      <c r="H26" s="2">
        <f>15+67</f>
        <v>82</v>
      </c>
      <c r="I26" s="2">
        <f>156+26</f>
        <v>182</v>
      </c>
      <c r="J26" s="2">
        <f t="shared" ref="J26:J31" si="8">E26*2+F26</f>
        <v>34</v>
      </c>
      <c r="K26" s="4">
        <f t="shared" si="6"/>
        <v>1.6734693877551021</v>
      </c>
      <c r="L26" s="2">
        <v>4</v>
      </c>
      <c r="M26" s="4">
        <f t="shared" si="7"/>
        <v>3.7142857142857144</v>
      </c>
      <c r="N26" s="4">
        <f>31/5</f>
        <v>6.2</v>
      </c>
      <c r="O26" s="5">
        <v>13</v>
      </c>
    </row>
    <row r="27" spans="1:15">
      <c r="A27" s="2">
        <v>9</v>
      </c>
      <c r="B27" s="2" t="s">
        <v>23</v>
      </c>
      <c r="C27" s="2" t="s">
        <v>22</v>
      </c>
      <c r="D27" s="2">
        <v>50</v>
      </c>
      <c r="E27" s="2">
        <v>10</v>
      </c>
      <c r="F27" s="2">
        <v>8</v>
      </c>
      <c r="G27" s="2">
        <v>32</v>
      </c>
      <c r="H27" s="2">
        <f>17+44</f>
        <v>61</v>
      </c>
      <c r="I27" s="2">
        <f>115+22</f>
        <v>137</v>
      </c>
      <c r="J27" s="2">
        <f t="shared" si="8"/>
        <v>28</v>
      </c>
      <c r="K27" s="4">
        <f t="shared" si="6"/>
        <v>1.22</v>
      </c>
      <c r="L27" s="2">
        <v>8</v>
      </c>
      <c r="M27" s="4">
        <f t="shared" si="7"/>
        <v>2.74</v>
      </c>
      <c r="N27" s="4">
        <f>34/5</f>
        <v>6.8</v>
      </c>
      <c r="O27" s="5">
        <v>12</v>
      </c>
    </row>
    <row r="28" spans="1:15">
      <c r="A28" s="2">
        <v>10</v>
      </c>
      <c r="B28" s="2" t="s">
        <v>41</v>
      </c>
      <c r="C28" s="2" t="s">
        <v>42</v>
      </c>
      <c r="D28" s="9">
        <v>21</v>
      </c>
      <c r="E28" s="9">
        <v>6</v>
      </c>
      <c r="F28" s="9">
        <v>3</v>
      </c>
      <c r="G28" s="9">
        <v>12</v>
      </c>
      <c r="H28" s="2">
        <f>27+15</f>
        <v>42</v>
      </c>
      <c r="I28" s="2">
        <f>23+26</f>
        <v>49</v>
      </c>
      <c r="J28" s="2">
        <f t="shared" si="8"/>
        <v>15</v>
      </c>
      <c r="K28" s="4">
        <f t="shared" si="6"/>
        <v>2</v>
      </c>
      <c r="L28" s="9">
        <v>4</v>
      </c>
      <c r="M28" s="4">
        <f t="shared" si="7"/>
        <v>2.3333333333333335</v>
      </c>
      <c r="N28" s="4">
        <f>12/2</f>
        <v>6</v>
      </c>
      <c r="O28" s="5">
        <v>10</v>
      </c>
    </row>
    <row r="29" spans="1:15">
      <c r="A29" s="2">
        <v>11</v>
      </c>
      <c r="B29" s="2" t="s">
        <v>20</v>
      </c>
      <c r="C29" s="2" t="s">
        <v>19</v>
      </c>
      <c r="D29" s="2">
        <v>59</v>
      </c>
      <c r="E29" s="2">
        <v>2</v>
      </c>
      <c r="F29" s="2">
        <v>6</v>
      </c>
      <c r="G29" s="2">
        <v>51</v>
      </c>
      <c r="H29" s="2">
        <f>47</f>
        <v>47</v>
      </c>
      <c r="I29" s="2">
        <f>33+185</f>
        <v>218</v>
      </c>
      <c r="J29" s="2">
        <f t="shared" si="8"/>
        <v>10</v>
      </c>
      <c r="K29" s="4">
        <f t="shared" si="6"/>
        <v>0.79661016949152541</v>
      </c>
      <c r="L29" s="2">
        <v>2</v>
      </c>
      <c r="M29" s="4">
        <f t="shared" si="7"/>
        <v>3.6949152542372881</v>
      </c>
      <c r="N29" s="4">
        <f>48/6</f>
        <v>8</v>
      </c>
      <c r="O29" s="5">
        <v>6</v>
      </c>
    </row>
    <row r="30" spans="1:15">
      <c r="A30" s="2">
        <v>12</v>
      </c>
      <c r="B30" s="9" t="s">
        <v>33</v>
      </c>
      <c r="C30" s="9" t="s">
        <v>34</v>
      </c>
      <c r="D30" s="2">
        <v>12</v>
      </c>
      <c r="E30" s="2">
        <v>7</v>
      </c>
      <c r="F30" s="2">
        <v>1</v>
      </c>
      <c r="G30" s="2">
        <v>4</v>
      </c>
      <c r="H30" s="2">
        <f>25+11+6</f>
        <v>42</v>
      </c>
      <c r="I30" s="2">
        <f>11+9+11</f>
        <v>31</v>
      </c>
      <c r="J30" s="2">
        <f t="shared" si="8"/>
        <v>15</v>
      </c>
      <c r="K30" s="4">
        <f t="shared" si="6"/>
        <v>3.5</v>
      </c>
      <c r="L30" s="2">
        <v>1</v>
      </c>
      <c r="M30" s="4">
        <f t="shared" si="7"/>
        <v>2.5833333333333335</v>
      </c>
      <c r="N30" s="4">
        <f>4/1</f>
        <v>4</v>
      </c>
      <c r="O30" s="5">
        <v>4</v>
      </c>
    </row>
    <row r="31" spans="1:15">
      <c r="A31" s="2">
        <v>13</v>
      </c>
      <c r="B31" s="2" t="s">
        <v>23</v>
      </c>
      <c r="C31" s="2" t="s">
        <v>46</v>
      </c>
      <c r="D31" s="2">
        <v>12</v>
      </c>
      <c r="E31" s="2">
        <v>4</v>
      </c>
      <c r="F31" s="2">
        <v>3</v>
      </c>
      <c r="G31" s="2">
        <v>5</v>
      </c>
      <c r="H31" s="2">
        <f>10+10</f>
        <v>20</v>
      </c>
      <c r="I31" s="2">
        <f>16+8</f>
        <v>24</v>
      </c>
      <c r="J31" s="2">
        <f t="shared" si="8"/>
        <v>11</v>
      </c>
      <c r="K31" s="4">
        <f t="shared" si="6"/>
        <v>1.6666666666666667</v>
      </c>
      <c r="L31" s="2">
        <v>1</v>
      </c>
      <c r="M31" s="4">
        <f t="shared" si="7"/>
        <v>2</v>
      </c>
      <c r="N31" s="4">
        <f>6/1</f>
        <v>6</v>
      </c>
      <c r="O31" s="5">
        <v>4</v>
      </c>
    </row>
    <row r="32" spans="1:15">
      <c r="D32">
        <f>SUM(D19:D31)/2</f>
        <v>258</v>
      </c>
      <c r="H32">
        <f>SUM(H19:H31)</f>
        <v>1248</v>
      </c>
      <c r="I32">
        <f>SUM(I19:I31)</f>
        <v>1248</v>
      </c>
    </row>
    <row r="33" spans="7:7">
      <c r="G33">
        <f>H32/D32</f>
        <v>4.8372093023255811</v>
      </c>
    </row>
  </sheetData>
  <pageMargins left="0.7" right="0.7" top="0.78740157499999996" bottom="0.78740157499999996" header="0.3" footer="0.3"/>
  <ignoredErrors>
    <ignoredError sqref="J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workbookViewId="0">
      <selection activeCell="O3" sqref="O3:O10"/>
    </sheetView>
  </sheetViews>
  <sheetFormatPr defaultRowHeight="15"/>
  <cols>
    <col min="3" max="3" width="9.7109375" customWidth="1"/>
  </cols>
  <sheetData>
    <row r="1" spans="1:15" ht="23.25">
      <c r="E1" s="1" t="s">
        <v>54</v>
      </c>
    </row>
    <row r="2" spans="1:1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13" t="s">
        <v>30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>
      <c r="A3" s="2">
        <v>1</v>
      </c>
      <c r="B3" s="2" t="s">
        <v>14</v>
      </c>
      <c r="C3" s="2" t="s">
        <v>15</v>
      </c>
      <c r="D3" s="2">
        <v>12</v>
      </c>
      <c r="E3" s="2">
        <v>9</v>
      </c>
      <c r="F3" s="2">
        <v>2</v>
      </c>
      <c r="G3" s="2">
        <v>1</v>
      </c>
      <c r="H3" s="2">
        <f>22+10+9</f>
        <v>41</v>
      </c>
      <c r="I3" s="2">
        <f>9+9+2</f>
        <v>20</v>
      </c>
      <c r="J3" s="2">
        <f>E3*2+F3</f>
        <v>20</v>
      </c>
      <c r="K3" s="4">
        <f>H3/D3</f>
        <v>3.4166666666666665</v>
      </c>
      <c r="L3" s="2">
        <v>3</v>
      </c>
      <c r="M3" s="4">
        <f>I3/D3</f>
        <v>1.6666666666666667</v>
      </c>
      <c r="N3" s="2"/>
      <c r="O3" s="5">
        <v>12</v>
      </c>
    </row>
    <row r="4" spans="1:15">
      <c r="A4" s="2">
        <v>2</v>
      </c>
      <c r="B4" s="2" t="s">
        <v>16</v>
      </c>
      <c r="C4" s="2" t="s">
        <v>17</v>
      </c>
      <c r="D4" s="2">
        <v>11</v>
      </c>
      <c r="E4" s="2">
        <v>7</v>
      </c>
      <c r="F4" s="2">
        <v>0</v>
      </c>
      <c r="G4" s="2">
        <v>4</v>
      </c>
      <c r="H4" s="2">
        <f>17+6</f>
        <v>23</v>
      </c>
      <c r="I4" s="2">
        <f>12+10</f>
        <v>22</v>
      </c>
      <c r="J4" s="2">
        <f t="shared" ref="J4:J10" si="0">E4*2+F4</f>
        <v>14</v>
      </c>
      <c r="K4" s="4">
        <f t="shared" ref="K4:K10" si="1">H4/D4</f>
        <v>2.0909090909090908</v>
      </c>
      <c r="L4" s="2">
        <v>4</v>
      </c>
      <c r="M4" s="4">
        <f t="shared" ref="M4:M10" si="2">I4/D4</f>
        <v>2</v>
      </c>
      <c r="N4" s="2"/>
      <c r="O4" s="5">
        <v>9</v>
      </c>
    </row>
    <row r="5" spans="1:15">
      <c r="A5" s="2">
        <v>3</v>
      </c>
      <c r="B5" s="2" t="s">
        <v>16</v>
      </c>
      <c r="C5" s="2" t="s">
        <v>39</v>
      </c>
      <c r="D5" s="2">
        <v>12</v>
      </c>
      <c r="E5" s="2">
        <v>6</v>
      </c>
      <c r="F5" s="2">
        <v>2</v>
      </c>
      <c r="G5" s="2">
        <v>4</v>
      </c>
      <c r="H5" s="2">
        <f>19+17</f>
        <v>36</v>
      </c>
      <c r="I5" s="2">
        <f>14+16</f>
        <v>30</v>
      </c>
      <c r="J5" s="2">
        <f t="shared" si="0"/>
        <v>14</v>
      </c>
      <c r="K5" s="4">
        <f t="shared" si="1"/>
        <v>3</v>
      </c>
      <c r="L5" s="2">
        <v>1</v>
      </c>
      <c r="M5" s="4">
        <f t="shared" si="2"/>
        <v>2.5</v>
      </c>
      <c r="N5" s="2"/>
      <c r="O5" s="5">
        <v>7</v>
      </c>
    </row>
    <row r="6" spans="1:15">
      <c r="A6" s="2">
        <v>4</v>
      </c>
      <c r="B6" s="2" t="s">
        <v>18</v>
      </c>
      <c r="C6" s="2" t="s">
        <v>19</v>
      </c>
      <c r="D6" s="2">
        <v>11</v>
      </c>
      <c r="E6" s="2">
        <v>5</v>
      </c>
      <c r="F6" s="2">
        <v>1</v>
      </c>
      <c r="G6" s="2">
        <v>5</v>
      </c>
      <c r="H6" s="2">
        <f>28+7</f>
        <v>35</v>
      </c>
      <c r="I6" s="2">
        <f>11+12</f>
        <v>23</v>
      </c>
      <c r="J6" s="2">
        <f t="shared" si="0"/>
        <v>11</v>
      </c>
      <c r="K6" s="4">
        <f t="shared" si="1"/>
        <v>3.1818181818181817</v>
      </c>
      <c r="L6" s="2">
        <v>2</v>
      </c>
      <c r="M6" s="4">
        <f t="shared" si="2"/>
        <v>2.0909090909090908</v>
      </c>
      <c r="N6" s="2"/>
      <c r="O6" s="5">
        <v>5</v>
      </c>
    </row>
    <row r="7" spans="1:15">
      <c r="A7" s="2">
        <v>5</v>
      </c>
      <c r="B7" s="2" t="s">
        <v>32</v>
      </c>
      <c r="C7" s="2" t="s">
        <v>17</v>
      </c>
      <c r="D7" s="2">
        <v>10</v>
      </c>
      <c r="E7" s="2">
        <v>7</v>
      </c>
      <c r="F7" s="2">
        <v>1</v>
      </c>
      <c r="G7" s="2">
        <v>2</v>
      </c>
      <c r="H7" s="2">
        <f>27+19</f>
        <v>46</v>
      </c>
      <c r="I7" s="2">
        <v>17</v>
      </c>
      <c r="J7" s="2">
        <f t="shared" si="0"/>
        <v>15</v>
      </c>
      <c r="K7" s="4">
        <f t="shared" si="1"/>
        <v>4.5999999999999996</v>
      </c>
      <c r="L7" s="2">
        <v>3</v>
      </c>
      <c r="M7" s="4">
        <f t="shared" si="2"/>
        <v>1.7</v>
      </c>
      <c r="N7" s="2"/>
      <c r="O7" s="5">
        <v>4</v>
      </c>
    </row>
    <row r="8" spans="1:15">
      <c r="A8" s="2">
        <v>6</v>
      </c>
      <c r="B8" s="2" t="s">
        <v>23</v>
      </c>
      <c r="C8" s="2" t="s">
        <v>22</v>
      </c>
      <c r="D8" s="2">
        <v>10</v>
      </c>
      <c r="E8" s="2">
        <v>2</v>
      </c>
      <c r="F8" s="2">
        <v>1</v>
      </c>
      <c r="G8" s="2">
        <v>7</v>
      </c>
      <c r="H8" s="2">
        <v>10</v>
      </c>
      <c r="I8" s="2">
        <f>28+8</f>
        <v>36</v>
      </c>
      <c r="J8" s="2">
        <f t="shared" si="0"/>
        <v>5</v>
      </c>
      <c r="K8" s="4">
        <f t="shared" si="1"/>
        <v>1</v>
      </c>
      <c r="L8" s="2">
        <v>0</v>
      </c>
      <c r="M8" s="4">
        <f t="shared" si="2"/>
        <v>3.6</v>
      </c>
      <c r="N8" s="2"/>
      <c r="O8" s="5">
        <v>3</v>
      </c>
    </row>
    <row r="9" spans="1:15">
      <c r="A9" s="2">
        <v>7</v>
      </c>
      <c r="B9" s="2" t="s">
        <v>53</v>
      </c>
      <c r="C9" s="2" t="s">
        <v>19</v>
      </c>
      <c r="D9" s="2">
        <v>10</v>
      </c>
      <c r="E9" s="2">
        <v>0</v>
      </c>
      <c r="F9" s="2">
        <v>1</v>
      </c>
      <c r="G9" s="2">
        <v>9</v>
      </c>
      <c r="H9" s="2">
        <f>9</f>
        <v>9</v>
      </c>
      <c r="I9" s="2">
        <v>30</v>
      </c>
      <c r="J9" s="2">
        <f t="shared" si="0"/>
        <v>1</v>
      </c>
      <c r="K9" s="4">
        <f t="shared" si="1"/>
        <v>0.9</v>
      </c>
      <c r="L9" s="2">
        <v>0</v>
      </c>
      <c r="M9" s="4">
        <f t="shared" si="2"/>
        <v>3</v>
      </c>
      <c r="N9" s="2"/>
      <c r="O9" s="5">
        <v>2</v>
      </c>
    </row>
    <row r="10" spans="1:15">
      <c r="A10" s="2">
        <v>8</v>
      </c>
      <c r="B10" s="2" t="s">
        <v>21</v>
      </c>
      <c r="C10" s="2" t="s">
        <v>22</v>
      </c>
      <c r="D10" s="2">
        <v>10</v>
      </c>
      <c r="E10" s="2">
        <v>2</v>
      </c>
      <c r="F10" s="2">
        <v>1</v>
      </c>
      <c r="G10" s="2">
        <v>7</v>
      </c>
      <c r="H10" s="2">
        <f>14</f>
        <v>14</v>
      </c>
      <c r="I10" s="2">
        <f>22+14</f>
        <v>36</v>
      </c>
      <c r="J10" s="2">
        <f t="shared" si="0"/>
        <v>5</v>
      </c>
      <c r="K10" s="4">
        <f t="shared" si="1"/>
        <v>1.4</v>
      </c>
      <c r="L10" s="2">
        <v>2</v>
      </c>
      <c r="M10" s="4">
        <f t="shared" si="2"/>
        <v>3.6</v>
      </c>
      <c r="N10" s="2"/>
      <c r="O10" s="5">
        <v>1</v>
      </c>
    </row>
    <row r="11" spans="1:15">
      <c r="D11">
        <f>SUM(D3:D10)/2</f>
        <v>43</v>
      </c>
      <c r="H11">
        <f>SUM(H3:H10)</f>
        <v>214</v>
      </c>
      <c r="I11">
        <f>SUM(I3:I10)</f>
        <v>214</v>
      </c>
    </row>
    <row r="12" spans="1:15">
      <c r="G12">
        <f>H11/D11</f>
        <v>4.9767441860465116</v>
      </c>
    </row>
    <row r="14" spans="1:15" ht="23.25">
      <c r="E14" s="1" t="s">
        <v>55</v>
      </c>
    </row>
    <row r="15" spans="1:15">
      <c r="A15" s="6" t="s">
        <v>0</v>
      </c>
      <c r="B15" s="7" t="s">
        <v>1</v>
      </c>
      <c r="C15" s="6" t="s">
        <v>2</v>
      </c>
      <c r="D15" s="7" t="s">
        <v>3</v>
      </c>
      <c r="E15" s="6" t="s">
        <v>4</v>
      </c>
      <c r="F15" s="6" t="s">
        <v>5</v>
      </c>
      <c r="G15" s="6" t="s">
        <v>6</v>
      </c>
      <c r="H15" s="13" t="s">
        <v>7</v>
      </c>
      <c r="I15" s="13" t="s">
        <v>30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12</v>
      </c>
      <c r="O15" s="6" t="s">
        <v>13</v>
      </c>
    </row>
    <row r="16" spans="1:15">
      <c r="A16" s="2">
        <v>1</v>
      </c>
      <c r="B16" s="9" t="s">
        <v>29</v>
      </c>
      <c r="C16" s="9" t="s">
        <v>15</v>
      </c>
      <c r="D16" s="2">
        <f>57+12</f>
        <v>69</v>
      </c>
      <c r="E16" s="2">
        <v>42</v>
      </c>
      <c r="F16" s="2">
        <v>10</v>
      </c>
      <c r="G16" s="2">
        <v>17</v>
      </c>
      <c r="H16" s="2">
        <f>41+169</f>
        <v>210</v>
      </c>
      <c r="I16" s="2">
        <f>106+20</f>
        <v>126</v>
      </c>
      <c r="J16" s="2">
        <f>2*E16+F16</f>
        <v>94</v>
      </c>
      <c r="K16" s="4">
        <f>H16/D16</f>
        <v>3.0434782608695654</v>
      </c>
      <c r="L16" s="2">
        <v>13</v>
      </c>
      <c r="M16" s="4">
        <f>I16/D16</f>
        <v>1.826086956521739</v>
      </c>
      <c r="N16" s="4">
        <f>14/6</f>
        <v>2.3333333333333335</v>
      </c>
      <c r="O16" s="5">
        <f>12+45</f>
        <v>57</v>
      </c>
    </row>
    <row r="17" spans="1:15">
      <c r="A17" s="2">
        <v>2</v>
      </c>
      <c r="B17" s="2" t="s">
        <v>18</v>
      </c>
      <c r="C17" s="2" t="s">
        <v>19</v>
      </c>
      <c r="D17" s="2">
        <f>77</f>
        <v>77</v>
      </c>
      <c r="E17" s="2">
        <v>40</v>
      </c>
      <c r="F17" s="2">
        <v>11</v>
      </c>
      <c r="G17" s="2">
        <v>26</v>
      </c>
      <c r="H17" s="2">
        <f>35+228</f>
        <v>263</v>
      </c>
      <c r="I17" s="2">
        <f>123+23</f>
        <v>146</v>
      </c>
      <c r="J17" s="2">
        <f>2*E17+F17</f>
        <v>91</v>
      </c>
      <c r="K17" s="4">
        <f>H17/D17</f>
        <v>3.4155844155844157</v>
      </c>
      <c r="L17" s="2">
        <v>18</v>
      </c>
      <c r="M17" s="4">
        <f>I17/D17</f>
        <v>1.8961038961038961</v>
      </c>
      <c r="N17" s="4">
        <f>22/7</f>
        <v>3.1428571428571428</v>
      </c>
      <c r="O17" s="5">
        <v>52</v>
      </c>
    </row>
    <row r="18" spans="1:15">
      <c r="A18" s="2">
        <v>3</v>
      </c>
      <c r="B18" s="9" t="s">
        <v>32</v>
      </c>
      <c r="C18" s="9" t="s">
        <v>17</v>
      </c>
      <c r="D18" s="2">
        <v>58</v>
      </c>
      <c r="E18" s="2">
        <v>39</v>
      </c>
      <c r="F18" s="2">
        <v>4</v>
      </c>
      <c r="G18" s="2">
        <v>15</v>
      </c>
      <c r="H18" s="2">
        <f>46+151</f>
        <v>197</v>
      </c>
      <c r="I18" s="2">
        <f>97+17</f>
        <v>114</v>
      </c>
      <c r="J18" s="2">
        <f t="shared" ref="J18:J26" si="3">2*E18+F18</f>
        <v>82</v>
      </c>
      <c r="K18" s="4">
        <f t="shared" ref="K18:K28" si="4">H18/D18</f>
        <v>3.396551724137931</v>
      </c>
      <c r="L18" s="2">
        <v>13</v>
      </c>
      <c r="M18" s="4">
        <f t="shared" ref="M18:M28" si="5">I18/D18</f>
        <v>1.9655172413793103</v>
      </c>
      <c r="N18" s="4">
        <f>15/5</f>
        <v>3</v>
      </c>
      <c r="O18" s="5">
        <v>46</v>
      </c>
    </row>
    <row r="19" spans="1:15">
      <c r="A19" s="2">
        <v>4</v>
      </c>
      <c r="B19" s="2" t="s">
        <v>16</v>
      </c>
      <c r="C19" s="2" t="s">
        <v>17</v>
      </c>
      <c r="D19" s="2">
        <v>73</v>
      </c>
      <c r="E19" s="2">
        <v>42</v>
      </c>
      <c r="F19" s="2">
        <v>12</v>
      </c>
      <c r="G19" s="2">
        <v>19</v>
      </c>
      <c r="H19" s="2">
        <f>23+185</f>
        <v>208</v>
      </c>
      <c r="I19" s="2">
        <f>111+22</f>
        <v>133</v>
      </c>
      <c r="J19" s="2">
        <f t="shared" si="3"/>
        <v>96</v>
      </c>
      <c r="K19" s="4">
        <f t="shared" si="4"/>
        <v>2.8493150684931505</v>
      </c>
      <c r="L19" s="2">
        <v>21</v>
      </c>
      <c r="M19" s="4">
        <f t="shared" si="5"/>
        <v>1.821917808219178</v>
      </c>
      <c r="N19" s="4">
        <f>29/7</f>
        <v>4.1428571428571432</v>
      </c>
      <c r="O19" s="5">
        <v>39</v>
      </c>
    </row>
    <row r="20" spans="1:15">
      <c r="A20" s="2">
        <v>5</v>
      </c>
      <c r="B20" s="2" t="s">
        <v>16</v>
      </c>
      <c r="C20" s="2" t="s">
        <v>39</v>
      </c>
      <c r="D20" s="2">
        <v>37</v>
      </c>
      <c r="E20" s="2">
        <v>21</v>
      </c>
      <c r="F20" s="2">
        <v>7</v>
      </c>
      <c r="G20" s="2">
        <v>9</v>
      </c>
      <c r="H20" s="2">
        <f>36+92</f>
        <v>128</v>
      </c>
      <c r="I20" s="2">
        <f>60+30</f>
        <v>90</v>
      </c>
      <c r="J20" s="2">
        <f>2*E20+F20</f>
        <v>49</v>
      </c>
      <c r="K20" s="4">
        <f>H20/D20</f>
        <v>3.4594594594594597</v>
      </c>
      <c r="L20" s="2">
        <v>3</v>
      </c>
      <c r="M20" s="4">
        <f>I20/D20</f>
        <v>2.4324324324324325</v>
      </c>
      <c r="N20" s="4">
        <f>8/3</f>
        <v>2.6666666666666665</v>
      </c>
      <c r="O20" s="5">
        <v>30</v>
      </c>
    </row>
    <row r="21" spans="1:15">
      <c r="A21" s="2">
        <v>6</v>
      </c>
      <c r="B21" s="2" t="s">
        <v>26</v>
      </c>
      <c r="C21" s="2" t="s">
        <v>27</v>
      </c>
      <c r="D21" s="2">
        <v>43</v>
      </c>
      <c r="E21" s="2">
        <v>17</v>
      </c>
      <c r="F21" s="2">
        <v>8</v>
      </c>
      <c r="G21" s="2">
        <v>18</v>
      </c>
      <c r="H21" s="2">
        <f>22+70</f>
        <v>92</v>
      </c>
      <c r="I21" s="2">
        <f>76+17</f>
        <v>93</v>
      </c>
      <c r="J21" s="2">
        <f t="shared" ref="J21" si="6">E21*2+F21</f>
        <v>42</v>
      </c>
      <c r="K21" s="4">
        <f>H21/D21</f>
        <v>2.13953488372093</v>
      </c>
      <c r="L21" s="2">
        <v>8</v>
      </c>
      <c r="M21" s="4">
        <f>I21/D21</f>
        <v>2.1627906976744184</v>
      </c>
      <c r="N21" s="4">
        <f>15/4</f>
        <v>3.75</v>
      </c>
      <c r="O21" s="5">
        <v>26</v>
      </c>
    </row>
    <row r="22" spans="1:15">
      <c r="A22" s="2">
        <v>7</v>
      </c>
      <c r="B22" s="2" t="s">
        <v>49</v>
      </c>
      <c r="C22" s="2" t="s">
        <v>50</v>
      </c>
      <c r="D22" s="2">
        <v>12</v>
      </c>
      <c r="E22" s="2">
        <v>9</v>
      </c>
      <c r="F22" s="2">
        <v>2</v>
      </c>
      <c r="G22" s="2">
        <v>1</v>
      </c>
      <c r="H22" s="2">
        <f>14+5+9+9</f>
        <v>37</v>
      </c>
      <c r="I22" s="2">
        <f>2+2+8+5</f>
        <v>17</v>
      </c>
      <c r="J22" s="2">
        <f>2*E22+F22</f>
        <v>20</v>
      </c>
      <c r="K22" s="4">
        <f t="shared" si="4"/>
        <v>3.0833333333333335</v>
      </c>
      <c r="L22" s="2">
        <v>4</v>
      </c>
      <c r="M22" s="4">
        <f t="shared" si="5"/>
        <v>1.4166666666666667</v>
      </c>
      <c r="N22" s="4">
        <f>1/1</f>
        <v>1</v>
      </c>
      <c r="O22" s="5">
        <v>17</v>
      </c>
    </row>
    <row r="23" spans="1:15">
      <c r="A23" s="2">
        <v>8</v>
      </c>
      <c r="B23" s="2" t="s">
        <v>23</v>
      </c>
      <c r="C23" s="2" t="s">
        <v>22</v>
      </c>
      <c r="D23" s="2">
        <v>60</v>
      </c>
      <c r="E23" s="2">
        <v>12</v>
      </c>
      <c r="F23" s="2">
        <v>9</v>
      </c>
      <c r="G23" s="2">
        <v>39</v>
      </c>
      <c r="H23" s="2">
        <v>71</v>
      </c>
      <c r="I23" s="2">
        <f>137+36</f>
        <v>173</v>
      </c>
      <c r="J23" s="2">
        <f>2*E23+F23</f>
        <v>33</v>
      </c>
      <c r="K23" s="4">
        <f>H23/D23</f>
        <v>1.1833333333333333</v>
      </c>
      <c r="L23" s="2">
        <v>8</v>
      </c>
      <c r="M23" s="4">
        <f>I23/D23</f>
        <v>2.8833333333333333</v>
      </c>
      <c r="N23" s="4">
        <f>40/6</f>
        <v>6.666666666666667</v>
      </c>
      <c r="O23" s="5">
        <v>15</v>
      </c>
    </row>
    <row r="24" spans="1:15">
      <c r="A24" s="2">
        <v>9</v>
      </c>
      <c r="B24" s="2" t="s">
        <v>21</v>
      </c>
      <c r="C24" s="2" t="s">
        <v>22</v>
      </c>
      <c r="D24" s="2">
        <v>59</v>
      </c>
      <c r="E24" s="2">
        <v>17</v>
      </c>
      <c r="F24" s="2">
        <v>5</v>
      </c>
      <c r="G24" s="2">
        <v>37</v>
      </c>
      <c r="H24" s="2">
        <f>14+82</f>
        <v>96</v>
      </c>
      <c r="I24" s="2">
        <f>182+36</f>
        <v>218</v>
      </c>
      <c r="J24" s="2">
        <f>2*E24+F24</f>
        <v>39</v>
      </c>
      <c r="K24" s="4">
        <f>H24/D24</f>
        <v>1.6271186440677967</v>
      </c>
      <c r="L24" s="2">
        <v>6</v>
      </c>
      <c r="M24" s="4">
        <f>I24/D24</f>
        <v>3.6949152542372881</v>
      </c>
      <c r="N24" s="4">
        <f>39/6</f>
        <v>6.5</v>
      </c>
      <c r="O24" s="5">
        <v>14</v>
      </c>
    </row>
    <row r="25" spans="1:15">
      <c r="A25" s="2">
        <v>10</v>
      </c>
      <c r="B25" s="2" t="s">
        <v>41</v>
      </c>
      <c r="C25" s="2" t="s">
        <v>42</v>
      </c>
      <c r="D25" s="9">
        <v>21</v>
      </c>
      <c r="E25" s="9">
        <v>6</v>
      </c>
      <c r="F25" s="9">
        <v>3</v>
      </c>
      <c r="G25" s="9">
        <v>12</v>
      </c>
      <c r="H25" s="2">
        <f>27+15</f>
        <v>42</v>
      </c>
      <c r="I25" s="2">
        <f>23+26</f>
        <v>49</v>
      </c>
      <c r="J25" s="2">
        <f t="shared" ref="J25" si="7">E25*2+F25</f>
        <v>15</v>
      </c>
      <c r="K25" s="4">
        <f t="shared" si="4"/>
        <v>2</v>
      </c>
      <c r="L25" s="9">
        <v>4</v>
      </c>
      <c r="M25" s="4">
        <f t="shared" si="5"/>
        <v>2.3333333333333335</v>
      </c>
      <c r="N25" s="4">
        <f>12/2</f>
        <v>6</v>
      </c>
      <c r="O25" s="5">
        <v>10</v>
      </c>
    </row>
    <row r="26" spans="1:15">
      <c r="A26" s="2">
        <v>11</v>
      </c>
      <c r="B26" s="2" t="s">
        <v>20</v>
      </c>
      <c r="C26" s="2" t="s">
        <v>19</v>
      </c>
      <c r="D26" s="2">
        <v>69</v>
      </c>
      <c r="E26" s="2">
        <v>2</v>
      </c>
      <c r="F26" s="2">
        <v>7</v>
      </c>
      <c r="G26" s="2">
        <v>60</v>
      </c>
      <c r="H26" s="2">
        <f>9+47</f>
        <v>56</v>
      </c>
      <c r="I26" s="2">
        <f>218+30</f>
        <v>248</v>
      </c>
      <c r="J26" s="2">
        <f t="shared" si="3"/>
        <v>11</v>
      </c>
      <c r="K26" s="4">
        <f t="shared" si="4"/>
        <v>0.81159420289855078</v>
      </c>
      <c r="L26" s="2">
        <v>2</v>
      </c>
      <c r="M26" s="4">
        <f t="shared" si="5"/>
        <v>3.5942028985507246</v>
      </c>
      <c r="N26" s="4">
        <f>55/7</f>
        <v>7.8571428571428568</v>
      </c>
      <c r="O26" s="5">
        <v>8</v>
      </c>
    </row>
    <row r="27" spans="1:15">
      <c r="A27" s="2">
        <v>12</v>
      </c>
      <c r="B27" s="9" t="s">
        <v>33</v>
      </c>
      <c r="C27" s="9" t="s">
        <v>34</v>
      </c>
      <c r="D27" s="2">
        <v>12</v>
      </c>
      <c r="E27" s="2">
        <v>7</v>
      </c>
      <c r="F27" s="2">
        <v>1</v>
      </c>
      <c r="G27" s="2">
        <v>4</v>
      </c>
      <c r="H27" s="2">
        <f>25+11+6</f>
        <v>42</v>
      </c>
      <c r="I27" s="2">
        <f>11+9+11</f>
        <v>31</v>
      </c>
      <c r="J27" s="2">
        <f t="shared" ref="J27:J28" si="8">E27*2+F27</f>
        <v>15</v>
      </c>
      <c r="K27" s="4">
        <f t="shared" si="4"/>
        <v>3.5</v>
      </c>
      <c r="L27" s="2">
        <v>1</v>
      </c>
      <c r="M27" s="4">
        <f t="shared" si="5"/>
        <v>2.5833333333333335</v>
      </c>
      <c r="N27" s="4">
        <f>4/1</f>
        <v>4</v>
      </c>
      <c r="O27" s="5">
        <v>4</v>
      </c>
    </row>
    <row r="28" spans="1:15">
      <c r="A28" s="2">
        <v>13</v>
      </c>
      <c r="B28" s="2" t="s">
        <v>23</v>
      </c>
      <c r="C28" s="2" t="s">
        <v>46</v>
      </c>
      <c r="D28" s="2">
        <v>12</v>
      </c>
      <c r="E28" s="2">
        <v>4</v>
      </c>
      <c r="F28" s="2">
        <v>3</v>
      </c>
      <c r="G28" s="2">
        <v>5</v>
      </c>
      <c r="H28" s="2">
        <f>10+10</f>
        <v>20</v>
      </c>
      <c r="I28" s="2">
        <f>16+8</f>
        <v>24</v>
      </c>
      <c r="J28" s="2">
        <f t="shared" si="8"/>
        <v>11</v>
      </c>
      <c r="K28" s="4">
        <f t="shared" si="4"/>
        <v>1.6666666666666667</v>
      </c>
      <c r="L28" s="2">
        <v>1</v>
      </c>
      <c r="M28" s="4">
        <f t="shared" si="5"/>
        <v>2</v>
      </c>
      <c r="N28" s="4">
        <f>6/1</f>
        <v>6</v>
      </c>
      <c r="O28" s="5">
        <v>4</v>
      </c>
    </row>
    <row r="29" spans="1:15">
      <c r="D29">
        <f>SUM(D16:D28)/2</f>
        <v>301</v>
      </c>
      <c r="H29">
        <f>SUM(H16:H28)</f>
        <v>1462</v>
      </c>
      <c r="I29">
        <f>SUM(I16:I28)</f>
        <v>1462</v>
      </c>
    </row>
    <row r="30" spans="1:15">
      <c r="G30">
        <f>H29/D29</f>
        <v>4.8571428571428568</v>
      </c>
    </row>
  </sheetData>
  <pageMargins left="0.7" right="0.7" top="0.78740157499999996" bottom="0.78740157499999996" header="0.3" footer="0.3"/>
  <pageSetup paperSize="9" orientation="portrait" horizontalDpi="300" verticalDpi="300" r:id="rId1"/>
  <ignoredErrors>
    <ignoredError sqref="J25:J26 J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topLeftCell="A8" workbookViewId="0">
      <selection activeCell="N28" sqref="N28"/>
    </sheetView>
  </sheetViews>
  <sheetFormatPr defaultRowHeight="15"/>
  <cols>
    <col min="11" max="11" width="11.85546875" bestFit="1" customWidth="1"/>
  </cols>
  <sheetData>
    <row r="1" spans="1:15" ht="23.25">
      <c r="E1" s="1" t="s">
        <v>57</v>
      </c>
    </row>
    <row r="2" spans="1:1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13" t="s">
        <v>30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>
      <c r="A3" s="2">
        <v>1</v>
      </c>
      <c r="B3" s="2" t="s">
        <v>14</v>
      </c>
      <c r="C3" s="2" t="s">
        <v>15</v>
      </c>
      <c r="D3" s="2">
        <v>12</v>
      </c>
      <c r="E3" s="2">
        <v>7</v>
      </c>
      <c r="F3" s="2">
        <v>3</v>
      </c>
      <c r="G3" s="2">
        <v>2</v>
      </c>
      <c r="H3" s="2">
        <f>13+4+6+10</f>
        <v>33</v>
      </c>
      <c r="I3" s="2">
        <f>2+1+5+8</f>
        <v>16</v>
      </c>
      <c r="J3" s="2">
        <f>2*E3+F3</f>
        <v>17</v>
      </c>
      <c r="K3" s="4">
        <f>H3/D3</f>
        <v>2.75</v>
      </c>
      <c r="L3" s="2">
        <v>4</v>
      </c>
      <c r="M3" s="4">
        <f>I3/D3</f>
        <v>1.3333333333333333</v>
      </c>
      <c r="N3" s="2"/>
      <c r="O3" s="5">
        <v>15</v>
      </c>
    </row>
    <row r="4" spans="1:15">
      <c r="A4" s="2">
        <v>2</v>
      </c>
      <c r="B4" s="2" t="s">
        <v>16</v>
      </c>
      <c r="C4" s="2" t="s">
        <v>39</v>
      </c>
      <c r="D4" s="2">
        <v>12</v>
      </c>
      <c r="E4" s="2">
        <v>7</v>
      </c>
      <c r="F4" s="2">
        <v>4</v>
      </c>
      <c r="G4" s="2">
        <v>1</v>
      </c>
      <c r="H4" s="2">
        <f>15+4+10+8</f>
        <v>37</v>
      </c>
      <c r="I4" s="2">
        <f>8+2+6+10</f>
        <v>26</v>
      </c>
      <c r="J4" s="2">
        <f t="shared" ref="J4:J12" si="0">2*E4+F4</f>
        <v>18</v>
      </c>
      <c r="K4" s="4">
        <f t="shared" ref="K4:K12" si="1">H4/D4</f>
        <v>3.0833333333333335</v>
      </c>
      <c r="L4" s="2">
        <v>2</v>
      </c>
      <c r="M4" s="4">
        <f t="shared" ref="M4:M12" si="2">I4/D4</f>
        <v>2.1666666666666665</v>
      </c>
      <c r="N4" s="2"/>
      <c r="O4" s="5">
        <v>12</v>
      </c>
    </row>
    <row r="5" spans="1:15">
      <c r="A5" s="2">
        <v>3</v>
      </c>
      <c r="B5" s="2" t="s">
        <v>36</v>
      </c>
      <c r="C5" s="2" t="s">
        <v>19</v>
      </c>
      <c r="D5" s="2">
        <v>12</v>
      </c>
      <c r="E5" s="2">
        <v>8</v>
      </c>
      <c r="F5" s="2">
        <v>1</v>
      </c>
      <c r="G5" s="2">
        <v>3</v>
      </c>
      <c r="H5" s="2">
        <f>20+7+5+8</f>
        <v>40</v>
      </c>
      <c r="I5" s="2">
        <f>2+4+6+6</f>
        <v>18</v>
      </c>
      <c r="J5" s="2">
        <f t="shared" si="0"/>
        <v>17</v>
      </c>
      <c r="K5" s="4">
        <f t="shared" si="1"/>
        <v>3.3333333333333335</v>
      </c>
      <c r="L5" s="2">
        <v>4</v>
      </c>
      <c r="M5" s="4">
        <f t="shared" si="2"/>
        <v>1.5</v>
      </c>
      <c r="N5" s="2"/>
      <c r="O5" s="5">
        <v>10</v>
      </c>
    </row>
    <row r="6" spans="1:15">
      <c r="A6" s="2">
        <v>4</v>
      </c>
      <c r="B6" s="2" t="s">
        <v>32</v>
      </c>
      <c r="C6" s="2" t="s">
        <v>17</v>
      </c>
      <c r="D6" s="2">
        <v>11</v>
      </c>
      <c r="E6" s="2">
        <v>6</v>
      </c>
      <c r="F6" s="2">
        <v>2</v>
      </c>
      <c r="G6" s="2">
        <v>3</v>
      </c>
      <c r="H6" s="2">
        <f>16+6+6+6</f>
        <v>34</v>
      </c>
      <c r="I6" s="2">
        <f>3+10+8</f>
        <v>21</v>
      </c>
      <c r="J6" s="2">
        <f t="shared" si="0"/>
        <v>14</v>
      </c>
      <c r="K6" s="4">
        <f t="shared" si="1"/>
        <v>3.0909090909090908</v>
      </c>
      <c r="L6" s="2">
        <v>4</v>
      </c>
      <c r="M6" s="4">
        <f t="shared" si="2"/>
        <v>1.9090909090909092</v>
      </c>
      <c r="N6" s="2"/>
      <c r="O6" s="5">
        <v>8</v>
      </c>
    </row>
    <row r="7" spans="1:15">
      <c r="A7" s="2">
        <v>5</v>
      </c>
      <c r="B7" s="2" t="s">
        <v>26</v>
      </c>
      <c r="C7" s="2" t="s">
        <v>27</v>
      </c>
      <c r="D7" s="2">
        <v>9</v>
      </c>
      <c r="E7" s="2">
        <v>4</v>
      </c>
      <c r="F7" s="2">
        <v>2</v>
      </c>
      <c r="G7" s="2">
        <v>3</v>
      </c>
      <c r="H7" s="2">
        <f>13+13</f>
        <v>26</v>
      </c>
      <c r="I7" s="2">
        <f>13+7</f>
        <v>20</v>
      </c>
      <c r="J7" s="2">
        <f t="shared" si="0"/>
        <v>10</v>
      </c>
      <c r="K7" s="4">
        <f t="shared" si="1"/>
        <v>2.8888888888888888</v>
      </c>
      <c r="L7" s="2">
        <v>3</v>
      </c>
      <c r="M7" s="4">
        <f t="shared" si="2"/>
        <v>2.2222222222222223</v>
      </c>
      <c r="N7" s="2"/>
      <c r="O7" s="5">
        <v>6</v>
      </c>
    </row>
    <row r="8" spans="1:15">
      <c r="A8" s="2">
        <v>6</v>
      </c>
      <c r="B8" s="2" t="s">
        <v>16</v>
      </c>
      <c r="C8" s="2" t="s">
        <v>17</v>
      </c>
      <c r="D8" s="2">
        <v>10</v>
      </c>
      <c r="E8" s="2">
        <v>5</v>
      </c>
      <c r="F8" s="2">
        <v>0</v>
      </c>
      <c r="G8" s="2">
        <v>5</v>
      </c>
      <c r="H8" s="2">
        <f>8+4+9</f>
        <v>21</v>
      </c>
      <c r="I8" s="2">
        <v>22</v>
      </c>
      <c r="J8" s="2">
        <f t="shared" si="0"/>
        <v>10</v>
      </c>
      <c r="K8" s="4">
        <f t="shared" si="1"/>
        <v>2.1</v>
      </c>
      <c r="L8" s="2">
        <v>0</v>
      </c>
      <c r="M8" s="4">
        <f t="shared" si="2"/>
        <v>2.2000000000000002</v>
      </c>
      <c r="N8" s="2"/>
      <c r="O8" s="5">
        <v>5</v>
      </c>
    </row>
    <row r="9" spans="1:15">
      <c r="A9" s="2">
        <v>7</v>
      </c>
      <c r="B9" s="2" t="s">
        <v>56</v>
      </c>
      <c r="C9" s="2" t="s">
        <v>42</v>
      </c>
      <c r="D9" s="2">
        <v>9</v>
      </c>
      <c r="E9" s="2">
        <v>1</v>
      </c>
      <c r="F9" s="2">
        <v>2</v>
      </c>
      <c r="G9" s="2">
        <v>6</v>
      </c>
      <c r="H9" s="2">
        <f>4+3</f>
        <v>7</v>
      </c>
      <c r="I9" s="2">
        <f>16+6</f>
        <v>22</v>
      </c>
      <c r="J9" s="2">
        <f t="shared" si="0"/>
        <v>4</v>
      </c>
      <c r="K9" s="4">
        <f t="shared" si="1"/>
        <v>0.77777777777777779</v>
      </c>
      <c r="L9" s="2">
        <v>1</v>
      </c>
      <c r="M9" s="4">
        <f t="shared" si="2"/>
        <v>2.4444444444444446</v>
      </c>
      <c r="N9" s="2"/>
      <c r="O9" s="5">
        <v>4</v>
      </c>
    </row>
    <row r="10" spans="1:15">
      <c r="A10" s="2">
        <v>8</v>
      </c>
      <c r="B10" s="2" t="s">
        <v>53</v>
      </c>
      <c r="C10" s="2" t="s">
        <v>19</v>
      </c>
      <c r="D10" s="2">
        <v>9</v>
      </c>
      <c r="E10" s="2">
        <v>1</v>
      </c>
      <c r="F10" s="2">
        <v>1</v>
      </c>
      <c r="G10" s="2">
        <v>7</v>
      </c>
      <c r="H10" s="2">
        <f>6</f>
        <v>6</v>
      </c>
      <c r="I10" s="2">
        <v>29</v>
      </c>
      <c r="J10" s="2">
        <f t="shared" si="0"/>
        <v>3</v>
      </c>
      <c r="K10" s="4">
        <f t="shared" si="1"/>
        <v>0.66666666666666663</v>
      </c>
      <c r="L10" s="2">
        <v>0</v>
      </c>
      <c r="M10" s="4">
        <f t="shared" si="2"/>
        <v>3.2222222222222223</v>
      </c>
      <c r="N10" s="2"/>
      <c r="O10" s="5">
        <v>3</v>
      </c>
    </row>
    <row r="11" spans="1:15">
      <c r="A11" s="2">
        <v>9</v>
      </c>
      <c r="B11" s="2" t="s">
        <v>23</v>
      </c>
      <c r="C11" s="2" t="s">
        <v>22</v>
      </c>
      <c r="D11" s="2">
        <v>7</v>
      </c>
      <c r="E11" s="2">
        <v>1</v>
      </c>
      <c r="F11" s="2">
        <v>1</v>
      </c>
      <c r="G11" s="2">
        <v>5</v>
      </c>
      <c r="H11" s="2">
        <f>9</f>
        <v>9</v>
      </c>
      <c r="I11" s="2">
        <f>23+5</f>
        <v>28</v>
      </c>
      <c r="J11" s="2">
        <f t="shared" si="0"/>
        <v>3</v>
      </c>
      <c r="K11" s="4">
        <f t="shared" si="1"/>
        <v>1.2857142857142858</v>
      </c>
      <c r="L11" s="2">
        <v>0</v>
      </c>
      <c r="M11" s="4">
        <f t="shared" si="2"/>
        <v>4</v>
      </c>
      <c r="N11" s="2"/>
      <c r="O11" s="5">
        <v>2</v>
      </c>
    </row>
    <row r="12" spans="1:15">
      <c r="A12" s="2">
        <v>10</v>
      </c>
      <c r="B12" s="2" t="s">
        <v>21</v>
      </c>
      <c r="C12" s="2" t="s">
        <v>22</v>
      </c>
      <c r="D12" s="2">
        <v>7</v>
      </c>
      <c r="E12" s="2">
        <v>1</v>
      </c>
      <c r="F12" s="2">
        <v>1</v>
      </c>
      <c r="G12" s="2">
        <v>5</v>
      </c>
      <c r="H12" s="2">
        <f>8</f>
        <v>8</v>
      </c>
      <c r="I12" s="2">
        <f>13+6</f>
        <v>19</v>
      </c>
      <c r="J12" s="2">
        <f t="shared" si="0"/>
        <v>3</v>
      </c>
      <c r="K12" s="4">
        <f t="shared" si="1"/>
        <v>1.1428571428571428</v>
      </c>
      <c r="L12" s="2">
        <v>0</v>
      </c>
      <c r="M12" s="4">
        <f t="shared" si="2"/>
        <v>2.7142857142857144</v>
      </c>
      <c r="N12" s="2"/>
      <c r="O12" s="5">
        <v>1</v>
      </c>
    </row>
    <row r="13" spans="1:15">
      <c r="D13">
        <f>SUM(D3:D12)/2</f>
        <v>49</v>
      </c>
      <c r="H13">
        <f>SUM(H3:H12)</f>
        <v>221</v>
      </c>
      <c r="I13">
        <f>SUM(I3:I12)</f>
        <v>221</v>
      </c>
    </row>
    <row r="14" spans="1:15">
      <c r="G14">
        <f>H13/D13</f>
        <v>4.5102040816326534</v>
      </c>
    </row>
    <row r="16" spans="1:15" ht="23.25">
      <c r="E16" s="1" t="s">
        <v>58</v>
      </c>
    </row>
    <row r="17" spans="1:15">
      <c r="A17" s="6" t="s">
        <v>0</v>
      </c>
      <c r="B17" s="7" t="s">
        <v>1</v>
      </c>
      <c r="C17" s="6" t="s">
        <v>2</v>
      </c>
      <c r="D17" s="7" t="s">
        <v>3</v>
      </c>
      <c r="E17" s="6" t="s">
        <v>4</v>
      </c>
      <c r="F17" s="6" t="s">
        <v>5</v>
      </c>
      <c r="G17" s="6" t="s">
        <v>6</v>
      </c>
      <c r="H17" s="13" t="s">
        <v>7</v>
      </c>
      <c r="I17" s="13" t="s">
        <v>30</v>
      </c>
      <c r="J17" s="6" t="s">
        <v>8</v>
      </c>
      <c r="K17" s="6" t="s">
        <v>9</v>
      </c>
      <c r="L17" s="6" t="s">
        <v>10</v>
      </c>
      <c r="M17" s="6" t="s">
        <v>11</v>
      </c>
      <c r="N17" s="14" t="s">
        <v>12</v>
      </c>
      <c r="O17" s="14" t="s">
        <v>13</v>
      </c>
    </row>
    <row r="18" spans="1:15">
      <c r="A18" s="2">
        <v>1</v>
      </c>
      <c r="B18" s="9" t="s">
        <v>29</v>
      </c>
      <c r="C18" s="9" t="s">
        <v>15</v>
      </c>
      <c r="D18" s="2">
        <f>69+12</f>
        <v>81</v>
      </c>
      <c r="E18" s="2">
        <v>49</v>
      </c>
      <c r="F18" s="2">
        <v>13</v>
      </c>
      <c r="G18" s="2">
        <v>19</v>
      </c>
      <c r="H18" s="2">
        <f>33+210</f>
        <v>243</v>
      </c>
      <c r="I18" s="2">
        <f>126+16</f>
        <v>142</v>
      </c>
      <c r="J18" s="2">
        <f>2*E18+F18</f>
        <v>111</v>
      </c>
      <c r="K18" s="4">
        <f>H18/D18</f>
        <v>3</v>
      </c>
      <c r="L18" s="2">
        <v>17</v>
      </c>
      <c r="M18" s="4">
        <f>I18/D18</f>
        <v>1.7530864197530864</v>
      </c>
      <c r="N18" s="4">
        <f>15/7</f>
        <v>2.1428571428571428</v>
      </c>
      <c r="O18" s="5">
        <f>57+15</f>
        <v>72</v>
      </c>
    </row>
    <row r="19" spans="1:15">
      <c r="A19" s="2">
        <v>2</v>
      </c>
      <c r="B19" s="2" t="s">
        <v>18</v>
      </c>
      <c r="C19" s="2" t="s">
        <v>19</v>
      </c>
      <c r="D19" s="2">
        <f>77+12</f>
        <v>89</v>
      </c>
      <c r="E19" s="2">
        <v>48</v>
      </c>
      <c r="F19" s="2">
        <v>12</v>
      </c>
      <c r="G19" s="2">
        <v>29</v>
      </c>
      <c r="H19" s="2">
        <f>40+263</f>
        <v>303</v>
      </c>
      <c r="I19" s="2">
        <f>146+18</f>
        <v>164</v>
      </c>
      <c r="J19" s="2">
        <f t="shared" ref="J19:J28" si="3">2*E19+F19</f>
        <v>108</v>
      </c>
      <c r="K19" s="4">
        <f>H19/D19</f>
        <v>3.404494382022472</v>
      </c>
      <c r="L19" s="2">
        <v>22</v>
      </c>
      <c r="M19" s="4">
        <f t="shared" ref="M19:M30" si="4">I19/D19</f>
        <v>1.8426966292134832</v>
      </c>
      <c r="N19" s="4">
        <f>25/8</f>
        <v>3.125</v>
      </c>
      <c r="O19" s="5">
        <f>52+10</f>
        <v>62</v>
      </c>
    </row>
    <row r="20" spans="1:15">
      <c r="A20" s="2">
        <v>3</v>
      </c>
      <c r="B20" s="9" t="s">
        <v>32</v>
      </c>
      <c r="C20" s="9" t="s">
        <v>17</v>
      </c>
      <c r="D20" s="2">
        <f>58+11</f>
        <v>69</v>
      </c>
      <c r="E20" s="2">
        <v>45</v>
      </c>
      <c r="F20" s="2">
        <v>6</v>
      </c>
      <c r="G20" s="2">
        <v>18</v>
      </c>
      <c r="H20" s="2">
        <f>197+34</f>
        <v>231</v>
      </c>
      <c r="I20" s="2">
        <f>114+21</f>
        <v>135</v>
      </c>
      <c r="J20" s="2">
        <f t="shared" si="3"/>
        <v>96</v>
      </c>
      <c r="K20" s="4">
        <f t="shared" ref="K20:K30" si="5">H20/D20</f>
        <v>3.347826086956522</v>
      </c>
      <c r="L20" s="2">
        <v>17</v>
      </c>
      <c r="M20" s="4">
        <f t="shared" si="4"/>
        <v>1.9565217391304348</v>
      </c>
      <c r="N20" s="4">
        <f>19/6</f>
        <v>3.1666666666666665</v>
      </c>
      <c r="O20" s="5">
        <f>46+8</f>
        <v>54</v>
      </c>
    </row>
    <row r="21" spans="1:15">
      <c r="A21" s="2">
        <v>4</v>
      </c>
      <c r="B21" s="2" t="s">
        <v>16</v>
      </c>
      <c r="C21" s="2" t="s">
        <v>17</v>
      </c>
      <c r="D21" s="2">
        <f>73+10</f>
        <v>83</v>
      </c>
      <c r="E21" s="2">
        <v>47</v>
      </c>
      <c r="F21" s="2">
        <v>12</v>
      </c>
      <c r="G21" s="2">
        <v>24</v>
      </c>
      <c r="H21" s="2">
        <f>208+21</f>
        <v>229</v>
      </c>
      <c r="I21" s="2">
        <f>133+22</f>
        <v>155</v>
      </c>
      <c r="J21" s="2">
        <f t="shared" si="3"/>
        <v>106</v>
      </c>
      <c r="K21" s="4">
        <f t="shared" si="5"/>
        <v>2.7590361445783134</v>
      </c>
      <c r="L21" s="2">
        <v>21</v>
      </c>
      <c r="M21" s="4">
        <f t="shared" si="4"/>
        <v>1.8674698795180722</v>
      </c>
      <c r="N21" s="4">
        <f>35/8</f>
        <v>4.375</v>
      </c>
      <c r="O21" s="5">
        <f>39+5</f>
        <v>44</v>
      </c>
    </row>
    <row r="22" spans="1:15">
      <c r="A22" s="2">
        <v>5</v>
      </c>
      <c r="B22" s="2" t="s">
        <v>16</v>
      </c>
      <c r="C22" s="2" t="s">
        <v>39</v>
      </c>
      <c r="D22" s="2">
        <f>37+12</f>
        <v>49</v>
      </c>
      <c r="E22" s="2">
        <v>28</v>
      </c>
      <c r="F22" s="2">
        <v>11</v>
      </c>
      <c r="G22" s="2">
        <v>10</v>
      </c>
      <c r="H22" s="2">
        <f>128+37</f>
        <v>165</v>
      </c>
      <c r="I22" s="2">
        <f>90+26</f>
        <v>116</v>
      </c>
      <c r="J22" s="2">
        <f t="shared" si="3"/>
        <v>67</v>
      </c>
      <c r="K22" s="4">
        <f t="shared" si="5"/>
        <v>3.3673469387755102</v>
      </c>
      <c r="L22" s="2">
        <v>5</v>
      </c>
      <c r="M22" s="4">
        <f t="shared" si="4"/>
        <v>2.3673469387755102</v>
      </c>
      <c r="N22" s="4">
        <f>10/4</f>
        <v>2.5</v>
      </c>
      <c r="O22" s="5">
        <v>42</v>
      </c>
    </row>
    <row r="23" spans="1:15">
      <c r="A23" s="2">
        <v>6</v>
      </c>
      <c r="B23" s="2" t="s">
        <v>26</v>
      </c>
      <c r="C23" s="2" t="s">
        <v>27</v>
      </c>
      <c r="D23" s="2">
        <f>43+9</f>
        <v>52</v>
      </c>
      <c r="E23" s="2">
        <v>21</v>
      </c>
      <c r="F23" s="2">
        <v>10</v>
      </c>
      <c r="G23" s="2">
        <v>21</v>
      </c>
      <c r="H23" s="2">
        <f>92+26</f>
        <v>118</v>
      </c>
      <c r="I23" s="2">
        <f>93+20</f>
        <v>113</v>
      </c>
      <c r="J23" s="2">
        <f t="shared" si="3"/>
        <v>52</v>
      </c>
      <c r="K23" s="4">
        <f t="shared" si="5"/>
        <v>2.2692307692307692</v>
      </c>
      <c r="L23" s="2">
        <v>11</v>
      </c>
      <c r="M23" s="4">
        <f t="shared" si="4"/>
        <v>2.1730769230769229</v>
      </c>
      <c r="N23" s="4">
        <f>20/5</f>
        <v>4</v>
      </c>
      <c r="O23" s="5">
        <v>32</v>
      </c>
    </row>
    <row r="24" spans="1:15">
      <c r="A24" s="2">
        <v>7</v>
      </c>
      <c r="B24" s="2" t="s">
        <v>49</v>
      </c>
      <c r="C24" s="2" t="s">
        <v>50</v>
      </c>
      <c r="D24" s="2">
        <v>12</v>
      </c>
      <c r="E24" s="2">
        <v>9</v>
      </c>
      <c r="F24" s="2">
        <v>2</v>
      </c>
      <c r="G24" s="2">
        <v>1</v>
      </c>
      <c r="H24" s="2">
        <f>14+5+9+9</f>
        <v>37</v>
      </c>
      <c r="I24" s="2">
        <f>2+2+8+5</f>
        <v>17</v>
      </c>
      <c r="J24" s="2">
        <f>2*E24+F24</f>
        <v>20</v>
      </c>
      <c r="K24" s="4">
        <f t="shared" si="5"/>
        <v>3.0833333333333335</v>
      </c>
      <c r="L24" s="2">
        <v>4</v>
      </c>
      <c r="M24" s="4">
        <f t="shared" si="4"/>
        <v>1.4166666666666667</v>
      </c>
      <c r="N24" s="4">
        <f>1/1</f>
        <v>1</v>
      </c>
      <c r="O24" s="5">
        <v>17</v>
      </c>
    </row>
    <row r="25" spans="1:15">
      <c r="A25" s="2">
        <v>8</v>
      </c>
      <c r="B25" s="2" t="s">
        <v>23</v>
      </c>
      <c r="C25" s="2" t="s">
        <v>22</v>
      </c>
      <c r="D25" s="2">
        <v>67</v>
      </c>
      <c r="E25" s="2">
        <v>13</v>
      </c>
      <c r="F25" s="2">
        <v>10</v>
      </c>
      <c r="G25" s="2">
        <v>44</v>
      </c>
      <c r="H25" s="2">
        <f>9+71</f>
        <v>80</v>
      </c>
      <c r="I25" s="2">
        <f>173+28</f>
        <v>201</v>
      </c>
      <c r="J25" s="2">
        <f t="shared" si="3"/>
        <v>36</v>
      </c>
      <c r="K25" s="4">
        <f t="shared" si="5"/>
        <v>1.1940298507462686</v>
      </c>
      <c r="L25" s="2">
        <v>8</v>
      </c>
      <c r="M25" s="4">
        <f t="shared" si="4"/>
        <v>3</v>
      </c>
      <c r="N25" s="4">
        <f>49/7</f>
        <v>7</v>
      </c>
      <c r="O25" s="5">
        <v>17</v>
      </c>
    </row>
    <row r="26" spans="1:15">
      <c r="A26" s="2">
        <v>9</v>
      </c>
      <c r="B26" s="2" t="s">
        <v>21</v>
      </c>
      <c r="C26" s="2" t="s">
        <v>22</v>
      </c>
      <c r="D26" s="2">
        <f>59+7</f>
        <v>66</v>
      </c>
      <c r="E26" s="2">
        <v>18</v>
      </c>
      <c r="F26" s="2">
        <v>6</v>
      </c>
      <c r="G26" s="2">
        <f>37+5</f>
        <v>42</v>
      </c>
      <c r="H26" s="2">
        <f>96+8</f>
        <v>104</v>
      </c>
      <c r="I26" s="2">
        <f>218+19</f>
        <v>237</v>
      </c>
      <c r="J26" s="2">
        <f t="shared" si="3"/>
        <v>42</v>
      </c>
      <c r="K26" s="4">
        <f t="shared" si="5"/>
        <v>1.5757575757575757</v>
      </c>
      <c r="L26" s="2">
        <v>6</v>
      </c>
      <c r="M26" s="4">
        <f t="shared" si="4"/>
        <v>3.5909090909090908</v>
      </c>
      <c r="N26" s="4">
        <f>49/7</f>
        <v>7</v>
      </c>
      <c r="O26" s="5">
        <v>15</v>
      </c>
    </row>
    <row r="27" spans="1:15">
      <c r="A27" s="2">
        <v>10</v>
      </c>
      <c r="B27" s="2" t="s">
        <v>41</v>
      </c>
      <c r="C27" s="2" t="s">
        <v>42</v>
      </c>
      <c r="D27" s="2">
        <v>30</v>
      </c>
      <c r="E27" s="2">
        <v>7</v>
      </c>
      <c r="F27" s="2">
        <v>5</v>
      </c>
      <c r="G27" s="2">
        <v>18</v>
      </c>
      <c r="H27" s="2">
        <f>42+7</f>
        <v>49</v>
      </c>
      <c r="I27" s="2">
        <f>22+49</f>
        <v>71</v>
      </c>
      <c r="J27" s="2">
        <f t="shared" si="3"/>
        <v>19</v>
      </c>
      <c r="K27" s="4">
        <f t="shared" si="5"/>
        <v>1.6333333333333333</v>
      </c>
      <c r="L27" s="2">
        <v>5</v>
      </c>
      <c r="M27" s="4">
        <f t="shared" si="4"/>
        <v>2.3666666666666667</v>
      </c>
      <c r="N27" s="4">
        <f>19/3</f>
        <v>6.333333333333333</v>
      </c>
      <c r="O27" s="5">
        <v>14</v>
      </c>
    </row>
    <row r="28" spans="1:15">
      <c r="A28" s="2">
        <v>11</v>
      </c>
      <c r="B28" s="2" t="s">
        <v>20</v>
      </c>
      <c r="C28" s="2" t="s">
        <v>19</v>
      </c>
      <c r="D28" s="2">
        <f>69+9</f>
        <v>78</v>
      </c>
      <c r="E28" s="2">
        <v>3</v>
      </c>
      <c r="F28" s="2">
        <v>8</v>
      </c>
      <c r="G28" s="2">
        <v>67</v>
      </c>
      <c r="H28" s="2">
        <f>56+6</f>
        <v>62</v>
      </c>
      <c r="I28" s="2">
        <f>248+29</f>
        <v>277</v>
      </c>
      <c r="J28" s="2">
        <f t="shared" si="3"/>
        <v>14</v>
      </c>
      <c r="K28" s="4">
        <f t="shared" si="5"/>
        <v>0.79487179487179482</v>
      </c>
      <c r="L28" s="2">
        <v>2</v>
      </c>
      <c r="M28" s="4">
        <f t="shared" si="4"/>
        <v>3.5512820512820511</v>
      </c>
      <c r="N28" s="4">
        <f>63/8</f>
        <v>7.875</v>
      </c>
      <c r="O28" s="5">
        <v>11</v>
      </c>
    </row>
    <row r="29" spans="1:15">
      <c r="A29" s="2">
        <v>12</v>
      </c>
      <c r="B29" s="9" t="s">
        <v>33</v>
      </c>
      <c r="C29" s="9" t="s">
        <v>34</v>
      </c>
      <c r="D29" s="2">
        <v>12</v>
      </c>
      <c r="E29" s="2">
        <v>7</v>
      </c>
      <c r="F29" s="2">
        <v>1</v>
      </c>
      <c r="G29" s="2">
        <v>4</v>
      </c>
      <c r="H29" s="2">
        <f>25+11+6</f>
        <v>42</v>
      </c>
      <c r="I29" s="2">
        <f>11+9+11</f>
        <v>31</v>
      </c>
      <c r="J29" s="2">
        <f t="shared" ref="J29:J30" si="6">E29*2+F29</f>
        <v>15</v>
      </c>
      <c r="K29" s="4">
        <f t="shared" si="5"/>
        <v>3.5</v>
      </c>
      <c r="L29" s="2">
        <v>1</v>
      </c>
      <c r="M29" s="4">
        <f t="shared" si="4"/>
        <v>2.5833333333333335</v>
      </c>
      <c r="N29" s="4">
        <f>4/1</f>
        <v>4</v>
      </c>
      <c r="O29" s="5">
        <v>4</v>
      </c>
    </row>
    <row r="30" spans="1:15">
      <c r="A30" s="2">
        <v>13</v>
      </c>
      <c r="B30" s="2" t="s">
        <v>23</v>
      </c>
      <c r="C30" s="2" t="s">
        <v>46</v>
      </c>
      <c r="D30" s="2">
        <v>12</v>
      </c>
      <c r="E30" s="2">
        <v>4</v>
      </c>
      <c r="F30" s="2">
        <v>3</v>
      </c>
      <c r="G30" s="2">
        <v>5</v>
      </c>
      <c r="H30" s="2">
        <f>10+10</f>
        <v>20</v>
      </c>
      <c r="I30" s="2">
        <f>16+8</f>
        <v>24</v>
      </c>
      <c r="J30" s="2">
        <f t="shared" si="6"/>
        <v>11</v>
      </c>
      <c r="K30" s="4">
        <f t="shared" si="5"/>
        <v>1.6666666666666667</v>
      </c>
      <c r="L30" s="2">
        <v>1</v>
      </c>
      <c r="M30" s="4">
        <f t="shared" si="4"/>
        <v>2</v>
      </c>
      <c r="N30" s="4">
        <f>6/1</f>
        <v>6</v>
      </c>
      <c r="O30" s="5">
        <v>4</v>
      </c>
    </row>
    <row r="31" spans="1:15">
      <c r="D31">
        <f>SUM(D18:D30)/2</f>
        <v>350</v>
      </c>
      <c r="H31">
        <f>SUM(H18:H30)</f>
        <v>1683</v>
      </c>
      <c r="I31">
        <f>SUM(I18:I30)</f>
        <v>1683</v>
      </c>
    </row>
    <row r="32" spans="1:15">
      <c r="G32">
        <f>H31/D31</f>
        <v>4.8085714285714287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workbookViewId="0">
      <selection activeCell="N26" sqref="N26"/>
    </sheetView>
  </sheetViews>
  <sheetFormatPr defaultRowHeight="15"/>
  <sheetData>
    <row r="1" spans="1:15" ht="23.25">
      <c r="E1" s="1" t="s">
        <v>59</v>
      </c>
    </row>
    <row r="2" spans="1:15">
      <c r="A2" s="6" t="s">
        <v>0</v>
      </c>
      <c r="B2" s="7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13" t="s">
        <v>30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>
      <c r="A3" s="2">
        <v>1</v>
      </c>
      <c r="B3" s="2" t="s">
        <v>32</v>
      </c>
      <c r="C3" s="2" t="s">
        <v>17</v>
      </c>
      <c r="D3" s="2">
        <v>11</v>
      </c>
      <c r="E3" s="2">
        <v>7</v>
      </c>
      <c r="F3" s="2">
        <v>3</v>
      </c>
      <c r="G3" s="2">
        <v>1</v>
      </c>
      <c r="H3" s="2">
        <f>24+5+10</f>
        <v>39</v>
      </c>
      <c r="I3" s="2">
        <f>8+3+2</f>
        <v>13</v>
      </c>
      <c r="J3" s="2">
        <f>2*E3+F3</f>
        <v>17</v>
      </c>
      <c r="K3" s="4">
        <f>H3/D3</f>
        <v>3.5454545454545454</v>
      </c>
      <c r="L3" s="2">
        <v>3</v>
      </c>
      <c r="M3" s="4">
        <f>I3/D3</f>
        <v>1.1818181818181819</v>
      </c>
      <c r="N3" s="2"/>
      <c r="O3" s="5">
        <v>12</v>
      </c>
    </row>
    <row r="4" spans="1:15">
      <c r="A4" s="2">
        <v>2</v>
      </c>
      <c r="B4" s="2" t="s">
        <v>18</v>
      </c>
      <c r="C4" s="2" t="s">
        <v>19</v>
      </c>
      <c r="D4" s="2">
        <v>11</v>
      </c>
      <c r="E4" s="2">
        <v>6</v>
      </c>
      <c r="F4" s="2">
        <v>3</v>
      </c>
      <c r="G4" s="2">
        <v>2</v>
      </c>
      <c r="H4" s="2">
        <f>33+9+2</f>
        <v>44</v>
      </c>
      <c r="I4" s="2">
        <f>10+3+10</f>
        <v>23</v>
      </c>
      <c r="J4" s="2">
        <f t="shared" ref="J4:J10" si="0">2*E4+F4</f>
        <v>15</v>
      </c>
      <c r="K4" s="4">
        <f t="shared" ref="K4:K10" si="1">H4/D4</f>
        <v>4</v>
      </c>
      <c r="L4" s="2">
        <v>1</v>
      </c>
      <c r="M4" s="4">
        <f t="shared" ref="M4:M10" si="2">I4/D4</f>
        <v>2.0909090909090908</v>
      </c>
      <c r="N4" s="2"/>
      <c r="O4" s="5">
        <v>9</v>
      </c>
    </row>
    <row r="5" spans="1:15">
      <c r="A5" s="2">
        <v>3</v>
      </c>
      <c r="B5" s="2" t="s">
        <v>14</v>
      </c>
      <c r="C5" s="2" t="s">
        <v>15</v>
      </c>
      <c r="D5" s="2">
        <v>11</v>
      </c>
      <c r="E5" s="2">
        <v>7</v>
      </c>
      <c r="F5" s="2">
        <v>3</v>
      </c>
      <c r="G5" s="2">
        <v>1</v>
      </c>
      <c r="H5" s="2">
        <f>25+3+6</f>
        <v>34</v>
      </c>
      <c r="I5" s="2">
        <f>10+5+1</f>
        <v>16</v>
      </c>
      <c r="J5" s="2">
        <f t="shared" si="0"/>
        <v>17</v>
      </c>
      <c r="K5" s="4">
        <f t="shared" si="1"/>
        <v>3.0909090909090908</v>
      </c>
      <c r="L5" s="2">
        <v>3</v>
      </c>
      <c r="M5" s="4">
        <f t="shared" si="2"/>
        <v>1.4545454545454546</v>
      </c>
      <c r="N5" s="2"/>
      <c r="O5" s="5">
        <v>7</v>
      </c>
    </row>
    <row r="6" spans="1:15">
      <c r="A6" s="2">
        <v>4</v>
      </c>
      <c r="B6" s="2" t="s">
        <v>26</v>
      </c>
      <c r="C6" s="2" t="s">
        <v>27</v>
      </c>
      <c r="D6" s="2">
        <v>11</v>
      </c>
      <c r="E6" s="2">
        <v>4</v>
      </c>
      <c r="F6" s="2">
        <v>3</v>
      </c>
      <c r="G6" s="2">
        <v>4</v>
      </c>
      <c r="H6" s="2">
        <f>19+3+1</f>
        <v>23</v>
      </c>
      <c r="I6" s="2">
        <f>9+9+6</f>
        <v>24</v>
      </c>
      <c r="J6" s="2">
        <f t="shared" si="0"/>
        <v>11</v>
      </c>
      <c r="K6" s="4">
        <f t="shared" si="1"/>
        <v>2.0909090909090908</v>
      </c>
      <c r="L6" s="2">
        <v>2</v>
      </c>
      <c r="M6" s="4">
        <f t="shared" si="2"/>
        <v>2.1818181818181817</v>
      </c>
      <c r="N6" s="2"/>
      <c r="O6" s="5">
        <v>5</v>
      </c>
    </row>
    <row r="7" spans="1:15">
      <c r="A7" s="2">
        <v>5</v>
      </c>
      <c r="B7" s="2" t="s">
        <v>23</v>
      </c>
      <c r="C7" s="2" t="s">
        <v>22</v>
      </c>
      <c r="D7" s="2">
        <v>10</v>
      </c>
      <c r="E7" s="2">
        <v>5</v>
      </c>
      <c r="F7" s="2">
        <v>0</v>
      </c>
      <c r="G7" s="2">
        <v>5</v>
      </c>
      <c r="H7" s="2">
        <f>7+9</f>
        <v>16</v>
      </c>
      <c r="I7" s="2">
        <f>28+5</f>
        <v>33</v>
      </c>
      <c r="J7" s="2">
        <f t="shared" si="0"/>
        <v>10</v>
      </c>
      <c r="K7" s="4">
        <f t="shared" si="1"/>
        <v>1.6</v>
      </c>
      <c r="L7" s="2">
        <v>2</v>
      </c>
      <c r="M7" s="4">
        <f t="shared" si="2"/>
        <v>3.3</v>
      </c>
      <c r="N7" s="2"/>
      <c r="O7" s="5">
        <v>4</v>
      </c>
    </row>
    <row r="8" spans="1:15">
      <c r="A8" s="2">
        <v>6</v>
      </c>
      <c r="B8" s="2" t="s">
        <v>16</v>
      </c>
      <c r="C8" s="2" t="s">
        <v>17</v>
      </c>
      <c r="D8" s="2">
        <v>10</v>
      </c>
      <c r="E8" s="2">
        <v>5</v>
      </c>
      <c r="F8" s="2">
        <v>0</v>
      </c>
      <c r="G8" s="2">
        <v>5</v>
      </c>
      <c r="H8" s="2">
        <f>21+11</f>
        <v>32</v>
      </c>
      <c r="I8" s="2">
        <f>19+4</f>
        <v>23</v>
      </c>
      <c r="J8" s="2">
        <f t="shared" si="0"/>
        <v>10</v>
      </c>
      <c r="K8" s="4">
        <f t="shared" si="1"/>
        <v>3.2</v>
      </c>
      <c r="L8" s="2">
        <v>3</v>
      </c>
      <c r="M8" s="4">
        <f t="shared" si="2"/>
        <v>2.2999999999999998</v>
      </c>
      <c r="N8" s="2"/>
      <c r="O8" s="5">
        <v>3</v>
      </c>
    </row>
    <row r="9" spans="1:15">
      <c r="A9" s="2">
        <v>7</v>
      </c>
      <c r="B9" s="2" t="s">
        <v>20</v>
      </c>
      <c r="C9" s="2" t="s">
        <v>19</v>
      </c>
      <c r="D9" s="2">
        <v>10</v>
      </c>
      <c r="E9" s="2">
        <v>1</v>
      </c>
      <c r="F9" s="2">
        <v>0</v>
      </c>
      <c r="G9" s="2">
        <v>9</v>
      </c>
      <c r="H9" s="2">
        <f>4+4</f>
        <v>8</v>
      </c>
      <c r="I9" s="2">
        <v>35</v>
      </c>
      <c r="J9" s="2">
        <f t="shared" si="0"/>
        <v>2</v>
      </c>
      <c r="K9" s="4">
        <f t="shared" si="1"/>
        <v>0.8</v>
      </c>
      <c r="L9" s="2">
        <v>0</v>
      </c>
      <c r="M9" s="4">
        <f t="shared" si="2"/>
        <v>3.5</v>
      </c>
      <c r="N9" s="2"/>
      <c r="O9" s="5">
        <v>2</v>
      </c>
    </row>
    <row r="10" spans="1:15">
      <c r="A10" s="2">
        <v>8</v>
      </c>
      <c r="B10" s="2" t="s">
        <v>21</v>
      </c>
      <c r="C10" s="2" t="s">
        <v>22</v>
      </c>
      <c r="D10" s="2">
        <v>10</v>
      </c>
      <c r="E10" s="2">
        <v>1</v>
      </c>
      <c r="F10" s="2">
        <v>0</v>
      </c>
      <c r="G10" s="2">
        <v>9</v>
      </c>
      <c r="H10" s="2">
        <v>8</v>
      </c>
      <c r="I10" s="2">
        <v>37</v>
      </c>
      <c r="J10" s="2">
        <f t="shared" si="0"/>
        <v>2</v>
      </c>
      <c r="K10" s="4">
        <f t="shared" si="1"/>
        <v>0.8</v>
      </c>
      <c r="L10" s="2">
        <v>1</v>
      </c>
      <c r="M10" s="4">
        <f t="shared" si="2"/>
        <v>3.7</v>
      </c>
      <c r="N10" s="2"/>
      <c r="O10" s="5">
        <v>1</v>
      </c>
    </row>
    <row r="11" spans="1:15">
      <c r="D11">
        <f>SUM(D3:D10)/2</f>
        <v>42</v>
      </c>
      <c r="H11">
        <f>SUM(H3:H10)</f>
        <v>204</v>
      </c>
      <c r="I11">
        <f>SUM(I3:I10)</f>
        <v>204</v>
      </c>
    </row>
    <row r="12" spans="1:15">
      <c r="G12">
        <f>H11/D11</f>
        <v>4.8571428571428568</v>
      </c>
    </row>
    <row r="14" spans="1:15" ht="23.25">
      <c r="E14" s="1" t="s">
        <v>60</v>
      </c>
    </row>
    <row r="15" spans="1:15">
      <c r="A15" s="6" t="s">
        <v>0</v>
      </c>
      <c r="B15" s="7" t="s">
        <v>1</v>
      </c>
      <c r="C15" s="6" t="s">
        <v>2</v>
      </c>
      <c r="D15" s="7" t="s">
        <v>3</v>
      </c>
      <c r="E15" s="6" t="s">
        <v>4</v>
      </c>
      <c r="F15" s="6" t="s">
        <v>5</v>
      </c>
      <c r="G15" s="6" t="s">
        <v>6</v>
      </c>
      <c r="H15" s="13" t="s">
        <v>7</v>
      </c>
      <c r="I15" s="13" t="s">
        <v>30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12</v>
      </c>
      <c r="O15" s="6" t="s">
        <v>13</v>
      </c>
    </row>
    <row r="16" spans="1:15">
      <c r="A16" s="2">
        <v>1</v>
      </c>
      <c r="B16" s="9" t="s">
        <v>29</v>
      </c>
      <c r="C16" s="9" t="s">
        <v>15</v>
      </c>
      <c r="D16" s="2">
        <f>81+11</f>
        <v>92</v>
      </c>
      <c r="E16" s="2">
        <v>56</v>
      </c>
      <c r="F16" s="2">
        <v>16</v>
      </c>
      <c r="G16" s="2">
        <v>20</v>
      </c>
      <c r="H16" s="2">
        <f>243+34</f>
        <v>277</v>
      </c>
      <c r="I16" s="2">
        <f>16+142</f>
        <v>158</v>
      </c>
      <c r="J16" s="2">
        <f>2*E16+F16</f>
        <v>128</v>
      </c>
      <c r="K16" s="4">
        <f>H16/D16</f>
        <v>3.0108695652173911</v>
      </c>
      <c r="L16" s="2">
        <v>20</v>
      </c>
      <c r="M16" s="4">
        <f>I16/D16</f>
        <v>1.7173913043478262</v>
      </c>
      <c r="N16" s="4">
        <f>18/8</f>
        <v>2.25</v>
      </c>
      <c r="O16" s="5">
        <f>72+7</f>
        <v>79</v>
      </c>
    </row>
    <row r="17" spans="1:15">
      <c r="A17" s="2">
        <v>2</v>
      </c>
      <c r="B17" s="2" t="s">
        <v>18</v>
      </c>
      <c r="C17" s="2" t="s">
        <v>19</v>
      </c>
      <c r="D17" s="2">
        <v>100</v>
      </c>
      <c r="E17" s="2">
        <v>54</v>
      </c>
      <c r="F17" s="2">
        <v>15</v>
      </c>
      <c r="G17" s="2">
        <v>31</v>
      </c>
      <c r="H17" s="2">
        <f>303+44</f>
        <v>347</v>
      </c>
      <c r="I17" s="2">
        <f>23+164</f>
        <v>187</v>
      </c>
      <c r="J17" s="2">
        <f t="shared" ref="J17:J26" si="3">2*E17+F17</f>
        <v>123</v>
      </c>
      <c r="K17" s="4">
        <f t="shared" ref="K17:K28" si="4">H17/D17</f>
        <v>3.47</v>
      </c>
      <c r="L17" s="2">
        <v>23</v>
      </c>
      <c r="M17" s="4">
        <f t="shared" ref="M17:M28" si="5">I17/D17</f>
        <v>1.87</v>
      </c>
      <c r="N17" s="4">
        <f>27/9</f>
        <v>3</v>
      </c>
      <c r="O17" s="5">
        <f>62+9</f>
        <v>71</v>
      </c>
    </row>
    <row r="18" spans="1:15">
      <c r="A18" s="2">
        <v>3</v>
      </c>
      <c r="B18" s="9" t="s">
        <v>32</v>
      </c>
      <c r="C18" s="9" t="s">
        <v>17</v>
      </c>
      <c r="D18" s="2">
        <v>80</v>
      </c>
      <c r="E18" s="2">
        <v>52</v>
      </c>
      <c r="F18" s="2">
        <v>9</v>
      </c>
      <c r="G18" s="2">
        <v>19</v>
      </c>
      <c r="H18" s="2">
        <f>39+231</f>
        <v>270</v>
      </c>
      <c r="I18" s="2">
        <f>135+13</f>
        <v>148</v>
      </c>
      <c r="J18" s="2">
        <f t="shared" si="3"/>
        <v>113</v>
      </c>
      <c r="K18" s="4">
        <f t="shared" si="4"/>
        <v>3.375</v>
      </c>
      <c r="L18" s="2">
        <v>20</v>
      </c>
      <c r="M18" s="4">
        <f t="shared" si="5"/>
        <v>1.85</v>
      </c>
      <c r="N18" s="4">
        <f>20/7</f>
        <v>2.8571428571428572</v>
      </c>
      <c r="O18" s="5">
        <f>54+12</f>
        <v>66</v>
      </c>
    </row>
    <row r="19" spans="1:15">
      <c r="A19" s="2">
        <v>4</v>
      </c>
      <c r="B19" s="2" t="s">
        <v>16</v>
      </c>
      <c r="C19" s="2" t="s">
        <v>17</v>
      </c>
      <c r="D19" s="2">
        <v>93</v>
      </c>
      <c r="E19" s="2">
        <v>52</v>
      </c>
      <c r="F19" s="2">
        <v>12</v>
      </c>
      <c r="G19" s="2">
        <v>29</v>
      </c>
      <c r="H19" s="2">
        <f>32+229</f>
        <v>261</v>
      </c>
      <c r="I19" s="2">
        <f>155+23</f>
        <v>178</v>
      </c>
      <c r="J19" s="2">
        <f t="shared" si="3"/>
        <v>116</v>
      </c>
      <c r="K19" s="4">
        <f t="shared" si="4"/>
        <v>2.806451612903226</v>
      </c>
      <c r="L19" s="2">
        <v>24</v>
      </c>
      <c r="M19" s="4">
        <f t="shared" si="5"/>
        <v>1.913978494623656</v>
      </c>
      <c r="N19" s="4">
        <f>41/9</f>
        <v>4.5555555555555554</v>
      </c>
      <c r="O19" s="5">
        <v>47</v>
      </c>
    </row>
    <row r="20" spans="1:15">
      <c r="A20" s="2">
        <v>5</v>
      </c>
      <c r="B20" s="2" t="s">
        <v>16</v>
      </c>
      <c r="C20" s="2" t="s">
        <v>39</v>
      </c>
      <c r="D20" s="2">
        <f>37+12</f>
        <v>49</v>
      </c>
      <c r="E20" s="2">
        <v>28</v>
      </c>
      <c r="F20" s="2">
        <v>11</v>
      </c>
      <c r="G20" s="2">
        <v>10</v>
      </c>
      <c r="H20" s="2">
        <f>128+37</f>
        <v>165</v>
      </c>
      <c r="I20" s="2">
        <f>90+26</f>
        <v>116</v>
      </c>
      <c r="J20" s="2">
        <f t="shared" si="3"/>
        <v>67</v>
      </c>
      <c r="K20" s="4">
        <f t="shared" si="4"/>
        <v>3.3673469387755102</v>
      </c>
      <c r="L20" s="2">
        <v>5</v>
      </c>
      <c r="M20" s="4">
        <f t="shared" si="5"/>
        <v>2.3673469387755102</v>
      </c>
      <c r="N20" s="4">
        <f>10/4</f>
        <v>2.5</v>
      </c>
      <c r="O20" s="5">
        <v>42</v>
      </c>
    </row>
    <row r="21" spans="1:15">
      <c r="A21" s="2">
        <v>6</v>
      </c>
      <c r="B21" s="2" t="s">
        <v>26</v>
      </c>
      <c r="C21" s="2" t="s">
        <v>27</v>
      </c>
      <c r="D21" s="9">
        <v>63</v>
      </c>
      <c r="E21" s="9">
        <v>25</v>
      </c>
      <c r="F21" s="9">
        <v>13</v>
      </c>
      <c r="G21" s="9">
        <v>25</v>
      </c>
      <c r="H21" s="2">
        <f>118+23</f>
        <v>141</v>
      </c>
      <c r="I21" s="2">
        <f>113+24</f>
        <v>137</v>
      </c>
      <c r="J21" s="2">
        <f t="shared" si="3"/>
        <v>63</v>
      </c>
      <c r="K21" s="4">
        <f t="shared" si="4"/>
        <v>2.2380952380952381</v>
      </c>
      <c r="L21" s="9">
        <v>13</v>
      </c>
      <c r="M21" s="4">
        <f t="shared" si="5"/>
        <v>2.1746031746031744</v>
      </c>
      <c r="N21" s="4">
        <f>24/6</f>
        <v>4</v>
      </c>
      <c r="O21" s="5">
        <v>37</v>
      </c>
    </row>
    <row r="22" spans="1:15">
      <c r="A22" s="2">
        <v>7</v>
      </c>
      <c r="B22" s="2" t="s">
        <v>23</v>
      </c>
      <c r="C22" s="2" t="s">
        <v>22</v>
      </c>
      <c r="D22" s="9">
        <v>77</v>
      </c>
      <c r="E22" s="9">
        <v>18</v>
      </c>
      <c r="F22" s="9">
        <v>10</v>
      </c>
      <c r="G22" s="9">
        <v>49</v>
      </c>
      <c r="H22" s="2">
        <f>80+16</f>
        <v>96</v>
      </c>
      <c r="I22" s="2">
        <f>201+33</f>
        <v>234</v>
      </c>
      <c r="J22" s="2">
        <f>2*E22+F22</f>
        <v>46</v>
      </c>
      <c r="K22" s="4">
        <f>H22/D22</f>
        <v>1.2467532467532467</v>
      </c>
      <c r="L22" s="9">
        <v>10</v>
      </c>
      <c r="M22" s="4">
        <f>I22/D22</f>
        <v>3.0389610389610389</v>
      </c>
      <c r="N22" s="4">
        <f>54/8</f>
        <v>6.75</v>
      </c>
      <c r="O22" s="5">
        <v>21</v>
      </c>
    </row>
    <row r="23" spans="1:15">
      <c r="A23" s="2">
        <v>8</v>
      </c>
      <c r="B23" s="2" t="s">
        <v>49</v>
      </c>
      <c r="C23" s="2" t="s">
        <v>50</v>
      </c>
      <c r="D23" s="2">
        <v>12</v>
      </c>
      <c r="E23" s="2">
        <v>9</v>
      </c>
      <c r="F23" s="2">
        <v>2</v>
      </c>
      <c r="G23" s="2">
        <v>1</v>
      </c>
      <c r="H23" s="2">
        <f>14+5+9+9</f>
        <v>37</v>
      </c>
      <c r="I23" s="2">
        <f>2+2+8+5</f>
        <v>17</v>
      </c>
      <c r="J23" s="2">
        <f>2*E23+F23</f>
        <v>20</v>
      </c>
      <c r="K23" s="4">
        <f>H23/D23</f>
        <v>3.0833333333333335</v>
      </c>
      <c r="L23" s="2">
        <v>4</v>
      </c>
      <c r="M23" s="4">
        <f>I23/D23</f>
        <v>1.4166666666666667</v>
      </c>
      <c r="N23" s="4">
        <f>1/1</f>
        <v>1</v>
      </c>
      <c r="O23" s="5">
        <v>17</v>
      </c>
    </row>
    <row r="24" spans="1:15">
      <c r="A24" s="2">
        <v>9</v>
      </c>
      <c r="B24" s="2" t="s">
        <v>21</v>
      </c>
      <c r="C24" s="2" t="s">
        <v>22</v>
      </c>
      <c r="D24" s="9">
        <v>76</v>
      </c>
      <c r="E24" s="9">
        <v>19</v>
      </c>
      <c r="F24" s="9">
        <v>6</v>
      </c>
      <c r="G24" s="9">
        <v>51</v>
      </c>
      <c r="H24" s="2">
        <f>104+8</f>
        <v>112</v>
      </c>
      <c r="I24" s="2">
        <f>237+37</f>
        <v>274</v>
      </c>
      <c r="J24" s="2">
        <f t="shared" si="3"/>
        <v>44</v>
      </c>
      <c r="K24" s="4">
        <f t="shared" si="4"/>
        <v>1.4736842105263157</v>
      </c>
      <c r="L24" s="9">
        <v>7</v>
      </c>
      <c r="M24" s="4">
        <f t="shared" si="5"/>
        <v>3.6052631578947367</v>
      </c>
      <c r="N24" s="4">
        <f>57/8</f>
        <v>7.125</v>
      </c>
      <c r="O24" s="5">
        <v>16</v>
      </c>
    </row>
    <row r="25" spans="1:15">
      <c r="A25" s="2">
        <v>10</v>
      </c>
      <c r="B25" s="2" t="s">
        <v>41</v>
      </c>
      <c r="C25" s="2" t="s">
        <v>42</v>
      </c>
      <c r="D25" s="2">
        <v>30</v>
      </c>
      <c r="E25" s="2">
        <v>7</v>
      </c>
      <c r="F25" s="2">
        <v>5</v>
      </c>
      <c r="G25" s="2">
        <v>18</v>
      </c>
      <c r="H25" s="2">
        <f>42+7</f>
        <v>49</v>
      </c>
      <c r="I25" s="2">
        <f>22+49</f>
        <v>71</v>
      </c>
      <c r="J25" s="2">
        <f t="shared" si="3"/>
        <v>19</v>
      </c>
      <c r="K25" s="4">
        <f t="shared" si="4"/>
        <v>1.6333333333333333</v>
      </c>
      <c r="L25" s="2">
        <v>5</v>
      </c>
      <c r="M25" s="4">
        <f t="shared" si="5"/>
        <v>2.3666666666666667</v>
      </c>
      <c r="N25" s="4">
        <f>19/3</f>
        <v>6.333333333333333</v>
      </c>
      <c r="O25" s="5">
        <v>14</v>
      </c>
    </row>
    <row r="26" spans="1:15">
      <c r="A26" s="2">
        <v>11</v>
      </c>
      <c r="B26" s="2" t="s">
        <v>20</v>
      </c>
      <c r="C26" s="2" t="s">
        <v>19</v>
      </c>
      <c r="D26" s="9">
        <v>88</v>
      </c>
      <c r="E26" s="9">
        <v>4</v>
      </c>
      <c r="F26" s="9">
        <v>8</v>
      </c>
      <c r="G26" s="9">
        <v>76</v>
      </c>
      <c r="H26" s="2">
        <f>70</f>
        <v>70</v>
      </c>
      <c r="I26" s="2">
        <f>277+35</f>
        <v>312</v>
      </c>
      <c r="J26" s="2">
        <f t="shared" si="3"/>
        <v>16</v>
      </c>
      <c r="K26" s="4">
        <f t="shared" si="4"/>
        <v>0.79545454545454541</v>
      </c>
      <c r="L26" s="9">
        <v>2</v>
      </c>
      <c r="M26" s="4">
        <f t="shared" si="5"/>
        <v>3.5454545454545454</v>
      </c>
      <c r="N26" s="4">
        <f>70/9</f>
        <v>7.7777777777777777</v>
      </c>
      <c r="O26" s="5">
        <v>13</v>
      </c>
    </row>
    <row r="27" spans="1:15">
      <c r="A27" s="2">
        <v>12</v>
      </c>
      <c r="B27" s="9" t="s">
        <v>33</v>
      </c>
      <c r="C27" s="9" t="s">
        <v>34</v>
      </c>
      <c r="D27" s="2">
        <v>12</v>
      </c>
      <c r="E27" s="2">
        <v>7</v>
      </c>
      <c r="F27" s="2">
        <v>1</v>
      </c>
      <c r="G27" s="2">
        <v>4</v>
      </c>
      <c r="H27" s="2">
        <f>25+11+6</f>
        <v>42</v>
      </c>
      <c r="I27" s="2">
        <f>11+9+11</f>
        <v>31</v>
      </c>
      <c r="J27" s="2">
        <f t="shared" ref="J27:J28" si="6">E27*2+F27</f>
        <v>15</v>
      </c>
      <c r="K27" s="4">
        <f t="shared" si="4"/>
        <v>3.5</v>
      </c>
      <c r="L27" s="2">
        <v>1</v>
      </c>
      <c r="M27" s="4">
        <f t="shared" si="5"/>
        <v>2.5833333333333335</v>
      </c>
      <c r="N27" s="4">
        <f>4/1</f>
        <v>4</v>
      </c>
      <c r="O27" s="5">
        <v>4</v>
      </c>
    </row>
    <row r="28" spans="1:15">
      <c r="A28" s="2">
        <v>13</v>
      </c>
      <c r="B28" s="2" t="s">
        <v>23</v>
      </c>
      <c r="C28" s="2" t="s">
        <v>46</v>
      </c>
      <c r="D28" s="2">
        <v>12</v>
      </c>
      <c r="E28" s="2">
        <v>4</v>
      </c>
      <c r="F28" s="2">
        <v>3</v>
      </c>
      <c r="G28" s="2">
        <v>5</v>
      </c>
      <c r="H28" s="2">
        <f>10+10</f>
        <v>20</v>
      </c>
      <c r="I28" s="2">
        <f>16+8</f>
        <v>24</v>
      </c>
      <c r="J28" s="2">
        <f t="shared" si="6"/>
        <v>11</v>
      </c>
      <c r="K28" s="4">
        <f t="shared" si="4"/>
        <v>1.6666666666666667</v>
      </c>
      <c r="L28" s="2">
        <v>1</v>
      </c>
      <c r="M28" s="4">
        <f t="shared" si="5"/>
        <v>2</v>
      </c>
      <c r="N28" s="4">
        <f>6/1</f>
        <v>6</v>
      </c>
      <c r="O28" s="5">
        <v>4</v>
      </c>
    </row>
    <row r="29" spans="1:15">
      <c r="D29">
        <f>SUM(D16:D28)/2</f>
        <v>392</v>
      </c>
      <c r="H29">
        <f>SUM(H16:H28)</f>
        <v>1887</v>
      </c>
      <c r="I29">
        <f>SUM(I16:I28)</f>
        <v>1887</v>
      </c>
    </row>
    <row r="30" spans="1:15">
      <c r="G30">
        <f>H29/D29</f>
        <v>4.8137755102040813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1.kolo</vt:lpstr>
      <vt:lpstr>2.kolo</vt:lpstr>
      <vt:lpstr>3.kolo</vt:lpstr>
      <vt:lpstr>4.kolo</vt:lpstr>
      <vt:lpstr>5.kolo</vt:lpstr>
      <vt:lpstr>6.kolo</vt:lpstr>
      <vt:lpstr>7.kolo</vt:lpstr>
      <vt:lpstr>8.kolo</vt:lpstr>
      <vt:lpstr>9.kolo</vt:lpstr>
      <vt:lpstr>10.kolo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2017-03-27T20:58:04Z</dcterms:modified>
</cp:coreProperties>
</file>