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35" windowHeight="5130" activeTab="9"/>
  </bookViews>
  <sheets>
    <sheet name="1.kolo" sheetId="1" r:id="rId1"/>
    <sheet name="2.kolo" sheetId="2" r:id="rId2"/>
    <sheet name="3.kolo" sheetId="3" r:id="rId3"/>
    <sheet name="4.kolo" sheetId="4" r:id="rId4"/>
    <sheet name="5.kolo" sheetId="5" r:id="rId5"/>
    <sheet name="6.kolo" sheetId="6" r:id="rId6"/>
    <sheet name="7.kolo" sheetId="7" r:id="rId7"/>
    <sheet name="8.kolo" sheetId="8" r:id="rId8"/>
    <sheet name="9.kolo" sheetId="9" r:id="rId9"/>
    <sheet name="10.kolo" sheetId="10" r:id="rId10"/>
  </sheets>
  <calcPr calcId="125725"/>
</workbook>
</file>

<file path=xl/calcChain.xml><?xml version="1.0" encoding="utf-8"?>
<calcChain xmlns="http://schemas.openxmlformats.org/spreadsheetml/2006/main">
  <c r="G37" i="10"/>
  <c r="N34"/>
  <c r="N32"/>
  <c r="N30"/>
  <c r="N29"/>
  <c r="N28"/>
  <c r="N27"/>
  <c r="N25"/>
  <c r="N23"/>
  <c r="N22" i="9"/>
  <c r="N22" i="10"/>
  <c r="N21"/>
  <c r="I36"/>
  <c r="H36"/>
  <c r="D36"/>
  <c r="I34"/>
  <c r="N35"/>
  <c r="K35"/>
  <c r="J35"/>
  <c r="I35"/>
  <c r="M35" s="1"/>
  <c r="H35"/>
  <c r="I32"/>
  <c r="N33"/>
  <c r="K33"/>
  <c r="J33"/>
  <c r="I33"/>
  <c r="M33" s="1"/>
  <c r="H33"/>
  <c r="I30"/>
  <c r="M30" s="1"/>
  <c r="H30"/>
  <c r="H29"/>
  <c r="K29" s="1"/>
  <c r="N31"/>
  <c r="K31"/>
  <c r="J31"/>
  <c r="I31"/>
  <c r="M31" s="1"/>
  <c r="H31"/>
  <c r="O28"/>
  <c r="I28"/>
  <c r="M28" s="1"/>
  <c r="H28"/>
  <c r="K28" s="1"/>
  <c r="I27"/>
  <c r="H27"/>
  <c r="H25"/>
  <c r="I25"/>
  <c r="K25"/>
  <c r="O26"/>
  <c r="N26"/>
  <c r="M26"/>
  <c r="J26"/>
  <c r="I26"/>
  <c r="H26"/>
  <c r="K26" s="1"/>
  <c r="O23"/>
  <c r="I23"/>
  <c r="H23"/>
  <c r="K23" s="1"/>
  <c r="E23"/>
  <c r="J23" s="1"/>
  <c r="D23"/>
  <c r="O21"/>
  <c r="I21"/>
  <c r="M21" s="1"/>
  <c r="H21"/>
  <c r="E21"/>
  <c r="J21" s="1"/>
  <c r="D21"/>
  <c r="M22"/>
  <c r="M23"/>
  <c r="M25"/>
  <c r="M27"/>
  <c r="M29"/>
  <c r="M32"/>
  <c r="M34"/>
  <c r="K22"/>
  <c r="K21"/>
  <c r="K27"/>
  <c r="K30"/>
  <c r="K32"/>
  <c r="K34"/>
  <c r="J22"/>
  <c r="J25"/>
  <c r="J27"/>
  <c r="J28"/>
  <c r="J29"/>
  <c r="J30"/>
  <c r="J32"/>
  <c r="J34"/>
  <c r="I22"/>
  <c r="H22"/>
  <c r="E22"/>
  <c r="D22"/>
  <c r="O24"/>
  <c r="N24"/>
  <c r="I24"/>
  <c r="M24" s="1"/>
  <c r="H24"/>
  <c r="K24" s="1"/>
  <c r="E24"/>
  <c r="J24" s="1"/>
  <c r="D24"/>
  <c r="H14"/>
  <c r="I14"/>
  <c r="H16"/>
  <c r="H11"/>
  <c r="H6"/>
  <c r="D14"/>
  <c r="M5"/>
  <c r="M6"/>
  <c r="M7"/>
  <c r="M8"/>
  <c r="M9"/>
  <c r="M10"/>
  <c r="M11"/>
  <c r="M12"/>
  <c r="M13"/>
  <c r="K5"/>
  <c r="K6"/>
  <c r="K7"/>
  <c r="K8"/>
  <c r="K9"/>
  <c r="K10"/>
  <c r="K11"/>
  <c r="K12"/>
  <c r="K13"/>
  <c r="J5"/>
  <c r="J6"/>
  <c r="J7"/>
  <c r="J8"/>
  <c r="J9"/>
  <c r="J10"/>
  <c r="J11"/>
  <c r="J12"/>
  <c r="J13"/>
  <c r="I12"/>
  <c r="I11"/>
  <c r="I10"/>
  <c r="H10"/>
  <c r="I9"/>
  <c r="H9"/>
  <c r="I8"/>
  <c r="H8"/>
  <c r="H7"/>
  <c r="I7"/>
  <c r="I6"/>
  <c r="I5"/>
  <c r="H5"/>
  <c r="M4"/>
  <c r="K4"/>
  <c r="J4"/>
  <c r="I4"/>
  <c r="H4"/>
  <c r="N31" i="9"/>
  <c r="N29"/>
  <c r="N28"/>
  <c r="N26"/>
  <c r="N25"/>
  <c r="N21"/>
  <c r="N20"/>
  <c r="N19"/>
  <c r="G35"/>
  <c r="D34"/>
  <c r="I34"/>
  <c r="H34"/>
  <c r="I31"/>
  <c r="H31"/>
  <c r="D31"/>
  <c r="I29"/>
  <c r="H29"/>
  <c r="I28"/>
  <c r="H28"/>
  <c r="G28"/>
  <c r="N33"/>
  <c r="K33"/>
  <c r="J33"/>
  <c r="I33"/>
  <c r="M33" s="1"/>
  <c r="H33"/>
  <c r="N32"/>
  <c r="J32"/>
  <c r="I32"/>
  <c r="M32" s="1"/>
  <c r="H32"/>
  <c r="K32" s="1"/>
  <c r="N30"/>
  <c r="K30"/>
  <c r="J30"/>
  <c r="I30"/>
  <c r="M30" s="1"/>
  <c r="H30"/>
  <c r="N27"/>
  <c r="K27"/>
  <c r="J27"/>
  <c r="I27"/>
  <c r="M27" s="1"/>
  <c r="H27"/>
  <c r="I26"/>
  <c r="M26" s="1"/>
  <c r="H26"/>
  <c r="I25"/>
  <c r="H25"/>
  <c r="K25" s="1"/>
  <c r="O24"/>
  <c r="N24"/>
  <c r="M24"/>
  <c r="J24"/>
  <c r="I24"/>
  <c r="H24"/>
  <c r="K24" s="1"/>
  <c r="E24"/>
  <c r="O23"/>
  <c r="N23"/>
  <c r="M23"/>
  <c r="J23"/>
  <c r="I23"/>
  <c r="H23"/>
  <c r="K23" s="1"/>
  <c r="O22"/>
  <c r="I22"/>
  <c r="H22"/>
  <c r="K22" s="1"/>
  <c r="E22"/>
  <c r="J22" s="1"/>
  <c r="D22"/>
  <c r="O21"/>
  <c r="I21"/>
  <c r="H21"/>
  <c r="K21" s="1"/>
  <c r="O20"/>
  <c r="I20"/>
  <c r="M20" s="1"/>
  <c r="H20"/>
  <c r="E20"/>
  <c r="D20"/>
  <c r="K20" s="1"/>
  <c r="O19"/>
  <c r="M21"/>
  <c r="M25"/>
  <c r="M28"/>
  <c r="M29"/>
  <c r="M31"/>
  <c r="M19"/>
  <c r="K26"/>
  <c r="K28"/>
  <c r="K29"/>
  <c r="K31"/>
  <c r="K19"/>
  <c r="J20"/>
  <c r="J21"/>
  <c r="J25"/>
  <c r="J26"/>
  <c r="J28"/>
  <c r="J29"/>
  <c r="J31"/>
  <c r="J19"/>
  <c r="I19"/>
  <c r="H19"/>
  <c r="E19"/>
  <c r="D19"/>
  <c r="G14"/>
  <c r="I13"/>
  <c r="H13"/>
  <c r="I12"/>
  <c r="M12" s="1"/>
  <c r="H12"/>
  <c r="I11"/>
  <c r="M11" s="1"/>
  <c r="H11"/>
  <c r="I10"/>
  <c r="M10" s="1"/>
  <c r="H10"/>
  <c r="I9"/>
  <c r="M9" s="1"/>
  <c r="H9"/>
  <c r="I8"/>
  <c r="M8" s="1"/>
  <c r="H8"/>
  <c r="I7"/>
  <c r="M7" s="1"/>
  <c r="H7"/>
  <c r="I6"/>
  <c r="M6" s="1"/>
  <c r="H6"/>
  <c r="I5"/>
  <c r="M5" s="1"/>
  <c r="H5"/>
  <c r="K5" s="1"/>
  <c r="D13"/>
  <c r="M4"/>
  <c r="K6"/>
  <c r="K7"/>
  <c r="K8"/>
  <c r="K9"/>
  <c r="K10"/>
  <c r="K11"/>
  <c r="K12"/>
  <c r="K4"/>
  <c r="J5"/>
  <c r="J6"/>
  <c r="J7"/>
  <c r="J8"/>
  <c r="J9"/>
  <c r="J10"/>
  <c r="J11"/>
  <c r="J12"/>
  <c r="J4"/>
  <c r="I4"/>
  <c r="H4"/>
  <c r="N36" i="8"/>
  <c r="J36"/>
  <c r="I36"/>
  <c r="M36" s="1"/>
  <c r="H36"/>
  <c r="K36" s="1"/>
  <c r="N35"/>
  <c r="I35"/>
  <c r="H35"/>
  <c r="N34"/>
  <c r="I34"/>
  <c r="N33"/>
  <c r="J33"/>
  <c r="I33"/>
  <c r="M33" s="1"/>
  <c r="H33"/>
  <c r="K33" s="1"/>
  <c r="N32"/>
  <c r="I32"/>
  <c r="H32"/>
  <c r="N31"/>
  <c r="I31"/>
  <c r="H31"/>
  <c r="O27"/>
  <c r="N27"/>
  <c r="I27"/>
  <c r="M27" s="1"/>
  <c r="H27"/>
  <c r="K27" s="1"/>
  <c r="E27"/>
  <c r="J27" s="1"/>
  <c r="N30"/>
  <c r="J30"/>
  <c r="I30"/>
  <c r="M30" s="1"/>
  <c r="H30"/>
  <c r="K30" s="1"/>
  <c r="O29"/>
  <c r="N29"/>
  <c r="I29"/>
  <c r="H29"/>
  <c r="O28"/>
  <c r="N28"/>
  <c r="I28"/>
  <c r="M28" s="1"/>
  <c r="H28"/>
  <c r="O26"/>
  <c r="N26"/>
  <c r="I26"/>
  <c r="M26" s="1"/>
  <c r="H26"/>
  <c r="O25"/>
  <c r="N25"/>
  <c r="I25"/>
  <c r="M25" s="1"/>
  <c r="H25"/>
  <c r="K25" s="1"/>
  <c r="O24"/>
  <c r="N24"/>
  <c r="J24"/>
  <c r="I24"/>
  <c r="H24"/>
  <c r="K24" s="1"/>
  <c r="D24"/>
  <c r="M29"/>
  <c r="M31"/>
  <c r="M32"/>
  <c r="M34"/>
  <c r="M35"/>
  <c r="K26"/>
  <c r="K28"/>
  <c r="K29"/>
  <c r="K31"/>
  <c r="K32"/>
  <c r="K34"/>
  <c r="K35"/>
  <c r="J23"/>
  <c r="J25"/>
  <c r="J26"/>
  <c r="J28"/>
  <c r="J29"/>
  <c r="J31"/>
  <c r="J32"/>
  <c r="J34"/>
  <c r="J35"/>
  <c r="N23"/>
  <c r="I23"/>
  <c r="M23" s="1"/>
  <c r="H23"/>
  <c r="K23" s="1"/>
  <c r="D23"/>
  <c r="O22"/>
  <c r="N22"/>
  <c r="I22"/>
  <c r="I37" s="1"/>
  <c r="H22"/>
  <c r="K22" s="1"/>
  <c r="F22"/>
  <c r="E22"/>
  <c r="J22" s="1"/>
  <c r="D22"/>
  <c r="D37" s="1"/>
  <c r="I11"/>
  <c r="D16"/>
  <c r="I15"/>
  <c r="H15"/>
  <c r="K15" s="1"/>
  <c r="I14"/>
  <c r="H14"/>
  <c r="K14" s="1"/>
  <c r="I13"/>
  <c r="H13"/>
  <c r="K13" s="1"/>
  <c r="I12"/>
  <c r="H12"/>
  <c r="K12" s="1"/>
  <c r="H11"/>
  <c r="K11" s="1"/>
  <c r="I10"/>
  <c r="H10"/>
  <c r="K10" s="1"/>
  <c r="I9"/>
  <c r="M9" s="1"/>
  <c r="H9"/>
  <c r="K8"/>
  <c r="K9"/>
  <c r="I8"/>
  <c r="H8"/>
  <c r="M8"/>
  <c r="M10"/>
  <c r="M11"/>
  <c r="M12"/>
  <c r="M13"/>
  <c r="M14"/>
  <c r="M15"/>
  <c r="J8"/>
  <c r="J9"/>
  <c r="J10"/>
  <c r="J11"/>
  <c r="J12"/>
  <c r="J13"/>
  <c r="J14"/>
  <c r="J15"/>
  <c r="J7"/>
  <c r="I7"/>
  <c r="I16" s="1"/>
  <c r="H7"/>
  <c r="H16" s="1"/>
  <c r="H18" s="1"/>
  <c r="I33" i="7"/>
  <c r="H33"/>
  <c r="O20"/>
  <c r="P28"/>
  <c r="P27"/>
  <c r="N30"/>
  <c r="N28"/>
  <c r="N27"/>
  <c r="N24"/>
  <c r="N22"/>
  <c r="N23"/>
  <c r="N20"/>
  <c r="N21"/>
  <c r="G28"/>
  <c r="G37" i="6"/>
  <c r="D36"/>
  <c r="I36"/>
  <c r="H36"/>
  <c r="N32" i="7"/>
  <c r="J32"/>
  <c r="I32"/>
  <c r="M32" s="1"/>
  <c r="H32"/>
  <c r="K32" s="1"/>
  <c r="N31"/>
  <c r="J31"/>
  <c r="I31"/>
  <c r="M31" s="1"/>
  <c r="H31"/>
  <c r="K31" s="1"/>
  <c r="D31"/>
  <c r="I30"/>
  <c r="H30"/>
  <c r="G30"/>
  <c r="D30"/>
  <c r="I28"/>
  <c r="H28"/>
  <c r="D28"/>
  <c r="I27"/>
  <c r="H27"/>
  <c r="D27"/>
  <c r="N29"/>
  <c r="J29"/>
  <c r="I29"/>
  <c r="M29" s="1"/>
  <c r="H29"/>
  <c r="K29" s="1"/>
  <c r="N26"/>
  <c r="J26"/>
  <c r="I26"/>
  <c r="M26" s="1"/>
  <c r="H26"/>
  <c r="K26" s="1"/>
  <c r="I24"/>
  <c r="H24"/>
  <c r="D24"/>
  <c r="M24" s="1"/>
  <c r="N25"/>
  <c r="J25"/>
  <c r="I25"/>
  <c r="M25" s="1"/>
  <c r="H25"/>
  <c r="D25"/>
  <c r="K25" s="1"/>
  <c r="O22"/>
  <c r="I22"/>
  <c r="H22"/>
  <c r="E22"/>
  <c r="I23"/>
  <c r="H23"/>
  <c r="K23" s="1"/>
  <c r="J20"/>
  <c r="J23"/>
  <c r="J22"/>
  <c r="J24"/>
  <c r="J27"/>
  <c r="J28"/>
  <c r="J30"/>
  <c r="I20"/>
  <c r="M20" s="1"/>
  <c r="H20"/>
  <c r="E20"/>
  <c r="O21"/>
  <c r="M21"/>
  <c r="M23"/>
  <c r="M22"/>
  <c r="M27"/>
  <c r="M28"/>
  <c r="M30"/>
  <c r="K20"/>
  <c r="K22"/>
  <c r="K24"/>
  <c r="K27"/>
  <c r="K28"/>
  <c r="K30"/>
  <c r="K21"/>
  <c r="J21"/>
  <c r="I21"/>
  <c r="H21"/>
  <c r="G21"/>
  <c r="F21"/>
  <c r="E21"/>
  <c r="D21"/>
  <c r="O19"/>
  <c r="N19"/>
  <c r="J19"/>
  <c r="I19"/>
  <c r="M19" s="1"/>
  <c r="H19"/>
  <c r="K19" s="1"/>
  <c r="D19"/>
  <c r="O18"/>
  <c r="N18"/>
  <c r="M18"/>
  <c r="I18"/>
  <c r="H18"/>
  <c r="K18" s="1"/>
  <c r="F18"/>
  <c r="E18"/>
  <c r="J18" s="1"/>
  <c r="D18"/>
  <c r="G13"/>
  <c r="I12"/>
  <c r="H12"/>
  <c r="I11"/>
  <c r="H11"/>
  <c r="K11" s="1"/>
  <c r="I10"/>
  <c r="H10"/>
  <c r="M10"/>
  <c r="I9"/>
  <c r="M9" s="1"/>
  <c r="H9"/>
  <c r="K9" s="1"/>
  <c r="I8"/>
  <c r="H8"/>
  <c r="K8" s="1"/>
  <c r="D12"/>
  <c r="I7"/>
  <c r="M7" s="1"/>
  <c r="H7"/>
  <c r="I6"/>
  <c r="M6" s="1"/>
  <c r="H6"/>
  <c r="K6" s="1"/>
  <c r="I5"/>
  <c r="H5"/>
  <c r="K5" s="1"/>
  <c r="M5"/>
  <c r="M8"/>
  <c r="M11"/>
  <c r="M4"/>
  <c r="K7"/>
  <c r="K10"/>
  <c r="K4"/>
  <c r="J5"/>
  <c r="J6"/>
  <c r="J7"/>
  <c r="J8"/>
  <c r="J9"/>
  <c r="J10"/>
  <c r="J11"/>
  <c r="J4"/>
  <c r="I4"/>
  <c r="H4"/>
  <c r="N34" i="6"/>
  <c r="N33"/>
  <c r="N32"/>
  <c r="N31"/>
  <c r="N26"/>
  <c r="N28"/>
  <c r="N27"/>
  <c r="N25"/>
  <c r="N24"/>
  <c r="N23"/>
  <c r="G16"/>
  <c r="D23"/>
  <c r="I34"/>
  <c r="H34"/>
  <c r="D34"/>
  <c r="I33"/>
  <c r="M33" s="1"/>
  <c r="H33"/>
  <c r="K33" s="1"/>
  <c r="I32"/>
  <c r="H32"/>
  <c r="D32"/>
  <c r="I31"/>
  <c r="H31"/>
  <c r="K31" s="1"/>
  <c r="D31"/>
  <c r="M31" s="1"/>
  <c r="I26"/>
  <c r="H26"/>
  <c r="I28"/>
  <c r="H28"/>
  <c r="D28"/>
  <c r="M28" s="1"/>
  <c r="N35"/>
  <c r="K35"/>
  <c r="J35"/>
  <c r="I35"/>
  <c r="M35" s="1"/>
  <c r="H35"/>
  <c r="N30"/>
  <c r="K30"/>
  <c r="J30"/>
  <c r="I30"/>
  <c r="M30" s="1"/>
  <c r="H30"/>
  <c r="N29"/>
  <c r="K29"/>
  <c r="J29"/>
  <c r="I29"/>
  <c r="M29" s="1"/>
  <c r="H29"/>
  <c r="I27"/>
  <c r="H27"/>
  <c r="K27" s="1"/>
  <c r="D27"/>
  <c r="O25"/>
  <c r="I25"/>
  <c r="H25"/>
  <c r="K25" s="1"/>
  <c r="E25"/>
  <c r="D25"/>
  <c r="O24"/>
  <c r="I24"/>
  <c r="H24"/>
  <c r="K24" s="1"/>
  <c r="D24"/>
  <c r="O23"/>
  <c r="M22"/>
  <c r="M23"/>
  <c r="M24"/>
  <c r="M27"/>
  <c r="M26"/>
  <c r="M32"/>
  <c r="M34"/>
  <c r="K22"/>
  <c r="K23"/>
  <c r="K28"/>
  <c r="K26"/>
  <c r="K32"/>
  <c r="K34"/>
  <c r="J24"/>
  <c r="J25"/>
  <c r="J27"/>
  <c r="J28"/>
  <c r="J26"/>
  <c r="J31"/>
  <c r="J32"/>
  <c r="J33"/>
  <c r="J34"/>
  <c r="J23"/>
  <c r="I23"/>
  <c r="H23"/>
  <c r="E23"/>
  <c r="O22"/>
  <c r="N22"/>
  <c r="J22"/>
  <c r="I22"/>
  <c r="H22"/>
  <c r="D22"/>
  <c r="O21"/>
  <c r="N21"/>
  <c r="M21"/>
  <c r="I21"/>
  <c r="H21"/>
  <c r="K21" s="1"/>
  <c r="F21"/>
  <c r="E21"/>
  <c r="J21" s="1"/>
  <c r="D21"/>
  <c r="I13"/>
  <c r="H9"/>
  <c r="I6"/>
  <c r="I15" s="1"/>
  <c r="H6"/>
  <c r="H15" s="1"/>
  <c r="D15"/>
  <c r="I5"/>
  <c r="H5"/>
  <c r="K5" s="1"/>
  <c r="I14"/>
  <c r="H14"/>
  <c r="H13"/>
  <c r="K13" s="1"/>
  <c r="I12"/>
  <c r="M12" s="1"/>
  <c r="H12"/>
  <c r="K12" s="1"/>
  <c r="I11"/>
  <c r="H11"/>
  <c r="I10"/>
  <c r="M10" s="1"/>
  <c r="H10"/>
  <c r="K10" s="1"/>
  <c r="I9"/>
  <c r="J13"/>
  <c r="J14"/>
  <c r="M13"/>
  <c r="M14"/>
  <c r="K14"/>
  <c r="I8"/>
  <c r="H8"/>
  <c r="M6"/>
  <c r="M7"/>
  <c r="M8"/>
  <c r="M9"/>
  <c r="M11"/>
  <c r="M5"/>
  <c r="K6"/>
  <c r="K7"/>
  <c r="K8"/>
  <c r="K9"/>
  <c r="K11"/>
  <c r="J6"/>
  <c r="J7"/>
  <c r="J8"/>
  <c r="J9"/>
  <c r="J10"/>
  <c r="J11"/>
  <c r="J12"/>
  <c r="J5"/>
  <c r="I7"/>
  <c r="H7"/>
  <c r="M6" i="5"/>
  <c r="M7"/>
  <c r="M8"/>
  <c r="M9"/>
  <c r="M10"/>
  <c r="M11"/>
  <c r="M12"/>
  <c r="M5"/>
  <c r="K6"/>
  <c r="K7"/>
  <c r="K8"/>
  <c r="K9"/>
  <c r="K10"/>
  <c r="K11"/>
  <c r="K12"/>
  <c r="K5"/>
  <c r="G35"/>
  <c r="J20"/>
  <c r="J21"/>
  <c r="J22"/>
  <c r="J23"/>
  <c r="J24"/>
  <c r="J25"/>
  <c r="J26"/>
  <c r="J27"/>
  <c r="J28"/>
  <c r="J29"/>
  <c r="J30"/>
  <c r="J31"/>
  <c r="J32"/>
  <c r="J33"/>
  <c r="J19"/>
  <c r="M20"/>
  <c r="M21"/>
  <c r="M22"/>
  <c r="M23"/>
  <c r="M24"/>
  <c r="M25"/>
  <c r="M26"/>
  <c r="M27"/>
  <c r="M28"/>
  <c r="M29"/>
  <c r="M30"/>
  <c r="M31"/>
  <c r="M32"/>
  <c r="M33"/>
  <c r="M19"/>
  <c r="K20"/>
  <c r="K21"/>
  <c r="K22"/>
  <c r="K23"/>
  <c r="K24"/>
  <c r="K25"/>
  <c r="K26"/>
  <c r="K27"/>
  <c r="K28"/>
  <c r="K29"/>
  <c r="K30"/>
  <c r="K31"/>
  <c r="K32"/>
  <c r="K33"/>
  <c r="K19"/>
  <c r="P31"/>
  <c r="P30"/>
  <c r="N33"/>
  <c r="N31"/>
  <c r="N29"/>
  <c r="N30"/>
  <c r="N24"/>
  <c r="N22"/>
  <c r="N20"/>
  <c r="N19"/>
  <c r="I34"/>
  <c r="H34"/>
  <c r="F19"/>
  <c r="D34"/>
  <c r="I33"/>
  <c r="D33"/>
  <c r="N32"/>
  <c r="I32"/>
  <c r="H32"/>
  <c r="I31"/>
  <c r="H31"/>
  <c r="D31"/>
  <c r="I29"/>
  <c r="H29"/>
  <c r="I30"/>
  <c r="H30"/>
  <c r="D30"/>
  <c r="N28"/>
  <c r="I28"/>
  <c r="H28"/>
  <c r="O24"/>
  <c r="I24"/>
  <c r="H24"/>
  <c r="D24"/>
  <c r="O22"/>
  <c r="I22"/>
  <c r="H22"/>
  <c r="D22"/>
  <c r="N27"/>
  <c r="I27"/>
  <c r="H27"/>
  <c r="N26"/>
  <c r="I26"/>
  <c r="H26"/>
  <c r="D26"/>
  <c r="N25"/>
  <c r="I25"/>
  <c r="H25"/>
  <c r="O23"/>
  <c r="N23"/>
  <c r="I23"/>
  <c r="H23"/>
  <c r="D23"/>
  <c r="O21"/>
  <c r="N21"/>
  <c r="I21"/>
  <c r="H21"/>
  <c r="D21"/>
  <c r="O20"/>
  <c r="I20"/>
  <c r="H20"/>
  <c r="D20"/>
  <c r="O19"/>
  <c r="I19"/>
  <c r="H19"/>
  <c r="E19"/>
  <c r="D19"/>
  <c r="I12"/>
  <c r="H12"/>
  <c r="D13"/>
  <c r="I11"/>
  <c r="H11"/>
  <c r="I10"/>
  <c r="H10"/>
  <c r="I9"/>
  <c r="H9"/>
  <c r="I8"/>
  <c r="H8"/>
  <c r="I7"/>
  <c r="H7"/>
  <c r="I6"/>
  <c r="H6"/>
  <c r="J6"/>
  <c r="J7"/>
  <c r="J8"/>
  <c r="J9"/>
  <c r="J10"/>
  <c r="J11"/>
  <c r="J12"/>
  <c r="J5"/>
  <c r="I5"/>
  <c r="I13" s="1"/>
  <c r="H5"/>
  <c r="H13" s="1"/>
  <c r="G14" s="1"/>
  <c r="D34" i="4"/>
  <c r="I34"/>
  <c r="H34"/>
  <c r="N31"/>
  <c r="N29"/>
  <c r="N30"/>
  <c r="N27"/>
  <c r="N24"/>
  <c r="N22"/>
  <c r="N20"/>
  <c r="N19"/>
  <c r="H24"/>
  <c r="G35"/>
  <c r="N33"/>
  <c r="K33"/>
  <c r="J33"/>
  <c r="I33"/>
  <c r="M33" s="1"/>
  <c r="H33"/>
  <c r="I31"/>
  <c r="H31"/>
  <c r="D31"/>
  <c r="I29"/>
  <c r="H29"/>
  <c r="D29"/>
  <c r="I30"/>
  <c r="H30"/>
  <c r="E30"/>
  <c r="D30"/>
  <c r="N32"/>
  <c r="K32"/>
  <c r="J32"/>
  <c r="I32"/>
  <c r="M32" s="1"/>
  <c r="H32"/>
  <c r="I27"/>
  <c r="M27" s="1"/>
  <c r="H27"/>
  <c r="D27"/>
  <c r="N28"/>
  <c r="K28"/>
  <c r="J28"/>
  <c r="I28"/>
  <c r="M28" s="1"/>
  <c r="H28"/>
  <c r="I24"/>
  <c r="D24"/>
  <c r="M24" s="1"/>
  <c r="O22"/>
  <c r="I22"/>
  <c r="H22"/>
  <c r="K22" s="1"/>
  <c r="D22"/>
  <c r="M22" s="1"/>
  <c r="N26"/>
  <c r="K26"/>
  <c r="J26"/>
  <c r="I26"/>
  <c r="M26" s="1"/>
  <c r="H26"/>
  <c r="N25"/>
  <c r="K25"/>
  <c r="J25"/>
  <c r="I25"/>
  <c r="M25" s="1"/>
  <c r="H25"/>
  <c r="N23"/>
  <c r="K23"/>
  <c r="J23"/>
  <c r="I23"/>
  <c r="M23" s="1"/>
  <c r="H23"/>
  <c r="O21"/>
  <c r="N21"/>
  <c r="M21"/>
  <c r="J21"/>
  <c r="I21"/>
  <c r="H21"/>
  <c r="K21" s="1"/>
  <c r="D21"/>
  <c r="O20"/>
  <c r="I20"/>
  <c r="H20"/>
  <c r="D20"/>
  <c r="O19"/>
  <c r="M20"/>
  <c r="M30"/>
  <c r="M29"/>
  <c r="M31"/>
  <c r="M19"/>
  <c r="K24"/>
  <c r="K27"/>
  <c r="K30"/>
  <c r="K29"/>
  <c r="K31"/>
  <c r="K19"/>
  <c r="J20"/>
  <c r="J22"/>
  <c r="J24"/>
  <c r="J27"/>
  <c r="J30"/>
  <c r="J29"/>
  <c r="J31"/>
  <c r="J19"/>
  <c r="I19"/>
  <c r="H19"/>
  <c r="E19"/>
  <c r="D19"/>
  <c r="G14"/>
  <c r="I11"/>
  <c r="M11" s="1"/>
  <c r="H11"/>
  <c r="K11" s="1"/>
  <c r="I12"/>
  <c r="H12"/>
  <c r="I13"/>
  <c r="H13"/>
  <c r="D13"/>
  <c r="I10"/>
  <c r="H10"/>
  <c r="K10" s="1"/>
  <c r="I9"/>
  <c r="H9"/>
  <c r="K9" s="1"/>
  <c r="H8"/>
  <c r="I7"/>
  <c r="H7"/>
  <c r="K7" s="1"/>
  <c r="I6"/>
  <c r="H6"/>
  <c r="K6" s="1"/>
  <c r="M6"/>
  <c r="M7"/>
  <c r="M8"/>
  <c r="M9"/>
  <c r="M10"/>
  <c r="M12"/>
  <c r="M5"/>
  <c r="K8"/>
  <c r="K12"/>
  <c r="K5"/>
  <c r="J6"/>
  <c r="J7"/>
  <c r="J8"/>
  <c r="J9"/>
  <c r="J10"/>
  <c r="J11"/>
  <c r="J12"/>
  <c r="J5"/>
  <c r="I5"/>
  <c r="H5"/>
  <c r="G36" i="3"/>
  <c r="D35"/>
  <c r="I35"/>
  <c r="H35"/>
  <c r="P31"/>
  <c r="P30"/>
  <c r="N21"/>
  <c r="N20"/>
  <c r="N22"/>
  <c r="N25"/>
  <c r="N29"/>
  <c r="N27"/>
  <c r="N24"/>
  <c r="N32"/>
  <c r="N33"/>
  <c r="I33"/>
  <c r="G33"/>
  <c r="N34"/>
  <c r="K34"/>
  <c r="J34"/>
  <c r="I34"/>
  <c r="M34" s="1"/>
  <c r="H34"/>
  <c r="I32"/>
  <c r="G32"/>
  <c r="N31"/>
  <c r="J31"/>
  <c r="I31"/>
  <c r="M31" s="1"/>
  <c r="H31"/>
  <c r="K31" s="1"/>
  <c r="N30"/>
  <c r="M30"/>
  <c r="J30"/>
  <c r="I30"/>
  <c r="H30"/>
  <c r="K30" s="1"/>
  <c r="I24"/>
  <c r="H24"/>
  <c r="K24" s="1"/>
  <c r="I27"/>
  <c r="H27"/>
  <c r="K27" s="1"/>
  <c r="I29"/>
  <c r="H29"/>
  <c r="K29" s="1"/>
  <c r="I25"/>
  <c r="H25"/>
  <c r="K25" s="1"/>
  <c r="O22"/>
  <c r="I22"/>
  <c r="H22"/>
  <c r="D22"/>
  <c r="N28"/>
  <c r="K28"/>
  <c r="J28"/>
  <c r="I28"/>
  <c r="M28" s="1"/>
  <c r="H28"/>
  <c r="N26"/>
  <c r="J26"/>
  <c r="I26"/>
  <c r="M26" s="1"/>
  <c r="H26"/>
  <c r="D26"/>
  <c r="K26" s="1"/>
  <c r="N23"/>
  <c r="K23"/>
  <c r="J23"/>
  <c r="I23"/>
  <c r="M23" s="1"/>
  <c r="H23"/>
  <c r="O20"/>
  <c r="I20"/>
  <c r="H20"/>
  <c r="M20"/>
  <c r="M22"/>
  <c r="M25"/>
  <c r="M29"/>
  <c r="M27"/>
  <c r="M24"/>
  <c r="M32"/>
  <c r="M33"/>
  <c r="M21"/>
  <c r="K20"/>
  <c r="K22"/>
  <c r="K32"/>
  <c r="K33"/>
  <c r="K21"/>
  <c r="J20"/>
  <c r="J22"/>
  <c r="J25"/>
  <c r="J29"/>
  <c r="J27"/>
  <c r="J24"/>
  <c r="J32"/>
  <c r="J33"/>
  <c r="J21"/>
  <c r="I21"/>
  <c r="H21"/>
  <c r="D21"/>
  <c r="G15"/>
  <c r="H11"/>
  <c r="I13"/>
  <c r="H13"/>
  <c r="H14" s="1"/>
  <c r="I12"/>
  <c r="M12" s="1"/>
  <c r="H12"/>
  <c r="I11"/>
  <c r="M11" s="1"/>
  <c r="K11"/>
  <c r="I10"/>
  <c r="M10" s="1"/>
  <c r="H10"/>
  <c r="I9"/>
  <c r="H9"/>
  <c r="I14"/>
  <c r="D14"/>
  <c r="I8"/>
  <c r="M8" s="1"/>
  <c r="H8"/>
  <c r="I7"/>
  <c r="M7" s="1"/>
  <c r="H7"/>
  <c r="I6"/>
  <c r="H6"/>
  <c r="M6"/>
  <c r="M9"/>
  <c r="M13"/>
  <c r="M5"/>
  <c r="K6"/>
  <c r="K7"/>
  <c r="K8"/>
  <c r="K9"/>
  <c r="K10"/>
  <c r="K12"/>
  <c r="K5"/>
  <c r="J6"/>
  <c r="J7"/>
  <c r="J8"/>
  <c r="J9"/>
  <c r="J10"/>
  <c r="J11"/>
  <c r="J12"/>
  <c r="J13"/>
  <c r="J5"/>
  <c r="I5"/>
  <c r="H5"/>
  <c r="D40" i="2"/>
  <c r="I40"/>
  <c r="H40"/>
  <c r="P35"/>
  <c r="P32"/>
  <c r="P33"/>
  <c r="P36"/>
  <c r="N34"/>
  <c r="N39"/>
  <c r="N38"/>
  <c r="N37"/>
  <c r="N36"/>
  <c r="N35"/>
  <c r="N32"/>
  <c r="N33"/>
  <c r="N31"/>
  <c r="N28"/>
  <c r="N29"/>
  <c r="N30"/>
  <c r="N27"/>
  <c r="N26"/>
  <c r="N25"/>
  <c r="I36"/>
  <c r="H36"/>
  <c r="I32"/>
  <c r="M32" s="1"/>
  <c r="H32"/>
  <c r="I33"/>
  <c r="M33" s="1"/>
  <c r="H33"/>
  <c r="I31"/>
  <c r="M31" s="1"/>
  <c r="H31"/>
  <c r="I28"/>
  <c r="M28" s="1"/>
  <c r="H28"/>
  <c r="I29"/>
  <c r="H29"/>
  <c r="D29"/>
  <c r="O25"/>
  <c r="I25"/>
  <c r="M25" s="1"/>
  <c r="H25"/>
  <c r="O26"/>
  <c r="M29"/>
  <c r="M36"/>
  <c r="K25"/>
  <c r="K28"/>
  <c r="K31"/>
  <c r="K33"/>
  <c r="K32"/>
  <c r="K36"/>
  <c r="J25"/>
  <c r="J30"/>
  <c r="J29"/>
  <c r="J28"/>
  <c r="J31"/>
  <c r="J33"/>
  <c r="J32"/>
  <c r="J35"/>
  <c r="J36"/>
  <c r="J37"/>
  <c r="J38"/>
  <c r="J39"/>
  <c r="J26"/>
  <c r="I26"/>
  <c r="H26"/>
  <c r="D26"/>
  <c r="J34"/>
  <c r="I34"/>
  <c r="M34" s="1"/>
  <c r="H34"/>
  <c r="K34" s="1"/>
  <c r="I35"/>
  <c r="M35" s="1"/>
  <c r="H35"/>
  <c r="K35" s="1"/>
  <c r="I39"/>
  <c r="M39" s="1"/>
  <c r="H39"/>
  <c r="K39" s="1"/>
  <c r="I38"/>
  <c r="M38" s="1"/>
  <c r="H38"/>
  <c r="K38" s="1"/>
  <c r="I37"/>
  <c r="M37" s="1"/>
  <c r="H37"/>
  <c r="K37" s="1"/>
  <c r="I30"/>
  <c r="M30" s="1"/>
  <c r="H30"/>
  <c r="K30" s="1"/>
  <c r="J27"/>
  <c r="I27"/>
  <c r="M27" s="1"/>
  <c r="H27"/>
  <c r="K27" s="1"/>
  <c r="M22" i="9" l="1"/>
  <c r="M7" i="8"/>
  <c r="K7"/>
  <c r="M22"/>
  <c r="M24"/>
  <c r="H37"/>
  <c r="H39" s="1"/>
  <c r="D33" i="7"/>
  <c r="M25" i="6"/>
  <c r="K20" i="4"/>
  <c r="K13" i="3"/>
  <c r="K26" i="2"/>
  <c r="M26"/>
  <c r="K29"/>
  <c r="H5"/>
  <c r="I16"/>
  <c r="D19"/>
  <c r="I18"/>
  <c r="H18"/>
  <c r="I17"/>
  <c r="H17"/>
  <c r="H16"/>
  <c r="K16" s="1"/>
  <c r="I15"/>
  <c r="H15"/>
  <c r="K15" s="1"/>
  <c r="I14"/>
  <c r="H14"/>
  <c r="K14" s="1"/>
  <c r="I13"/>
  <c r="H13"/>
  <c r="K13" s="1"/>
  <c r="I12"/>
  <c r="H12"/>
  <c r="K12" s="1"/>
  <c r="I11"/>
  <c r="H11"/>
  <c r="K11" s="1"/>
  <c r="I10"/>
  <c r="H10"/>
  <c r="K10" s="1"/>
  <c r="I9"/>
  <c r="H9"/>
  <c r="K9" s="1"/>
  <c r="I8"/>
  <c r="H8"/>
  <c r="K8" s="1"/>
  <c r="I7"/>
  <c r="H7"/>
  <c r="K7" s="1"/>
  <c r="I6"/>
  <c r="M6" s="1"/>
  <c r="H6"/>
  <c r="K6" s="1"/>
  <c r="K17"/>
  <c r="K18"/>
  <c r="K5"/>
  <c r="M7"/>
  <c r="M8"/>
  <c r="M9"/>
  <c r="M10"/>
  <c r="M11"/>
  <c r="M12"/>
  <c r="M13"/>
  <c r="M14"/>
  <c r="M15"/>
  <c r="M16"/>
  <c r="M17"/>
  <c r="M18"/>
  <c r="J17"/>
  <c r="J18"/>
  <c r="J6"/>
  <c r="J7"/>
  <c r="J8"/>
  <c r="J9"/>
  <c r="J10"/>
  <c r="J11"/>
  <c r="J12"/>
  <c r="J13"/>
  <c r="J14"/>
  <c r="J15"/>
  <c r="J16"/>
  <c r="J5"/>
  <c r="I5"/>
  <c r="M5" s="1"/>
  <c r="D14" i="1"/>
  <c r="I12"/>
  <c r="M12" s="1"/>
  <c r="H12"/>
  <c r="K12" s="1"/>
  <c r="I11"/>
  <c r="H11"/>
  <c r="I10"/>
  <c r="M10" s="1"/>
  <c r="H10"/>
  <c r="K10" s="1"/>
  <c r="J9"/>
  <c r="I9"/>
  <c r="M9" s="1"/>
  <c r="H9"/>
  <c r="K9" s="1"/>
  <c r="I8"/>
  <c r="H8"/>
  <c r="K8" s="1"/>
  <c r="I7"/>
  <c r="M7" s="1"/>
  <c r="H7"/>
  <c r="I6"/>
  <c r="H6"/>
  <c r="M6"/>
  <c r="M8"/>
  <c r="M11"/>
  <c r="M13"/>
  <c r="K6"/>
  <c r="K7"/>
  <c r="K11"/>
  <c r="K13"/>
  <c r="K5"/>
  <c r="J6"/>
  <c r="J7"/>
  <c r="J8"/>
  <c r="J10"/>
  <c r="J11"/>
  <c r="J12"/>
  <c r="J13"/>
  <c r="J5"/>
  <c r="I5"/>
  <c r="M5" s="1"/>
  <c r="H5"/>
  <c r="H14" s="1"/>
  <c r="G15" s="1"/>
  <c r="G34" i="7" l="1"/>
  <c r="H19" i="2"/>
  <c r="G20" s="1"/>
  <c r="I19"/>
  <c r="I14" i="1"/>
  <c r="G41" i="2"/>
</calcChain>
</file>

<file path=xl/sharedStrings.xml><?xml version="1.0" encoding="utf-8"?>
<sst xmlns="http://schemas.openxmlformats.org/spreadsheetml/2006/main" count="762" uniqueCount="68">
  <si>
    <t>pořadí</t>
  </si>
  <si>
    <t>jméno</t>
  </si>
  <si>
    <t>příjmení</t>
  </si>
  <si>
    <t>zápasy</t>
  </si>
  <si>
    <t>výhry</t>
  </si>
  <si>
    <t>remízy</t>
  </si>
  <si>
    <t>prohry</t>
  </si>
  <si>
    <t>vstřel. góly</t>
  </si>
  <si>
    <t>obrdž. góly</t>
  </si>
  <si>
    <t>body</t>
  </si>
  <si>
    <t>útok</t>
  </si>
  <si>
    <t>nuly</t>
  </si>
  <si>
    <t>obrana</t>
  </si>
  <si>
    <t>body celkem</t>
  </si>
  <si>
    <t>Pavel</t>
  </si>
  <si>
    <t>Pohořalý</t>
  </si>
  <si>
    <t>Aneta</t>
  </si>
  <si>
    <t>Jackowská</t>
  </si>
  <si>
    <t>Vojtěch</t>
  </si>
  <si>
    <t>Goby</t>
  </si>
  <si>
    <t>Daniel</t>
  </si>
  <si>
    <t>Síbrt</t>
  </si>
  <si>
    <t>Jaroslav</t>
  </si>
  <si>
    <t>Sládek st.</t>
  </si>
  <si>
    <t>Vlasta</t>
  </si>
  <si>
    <t>Gobyová</t>
  </si>
  <si>
    <t>Tomáš</t>
  </si>
  <si>
    <t>Kratochvíl</t>
  </si>
  <si>
    <t>Kateřina</t>
  </si>
  <si>
    <t>Stařecká</t>
  </si>
  <si>
    <t>prům. umís.</t>
  </si>
  <si>
    <t>Jiří</t>
  </si>
  <si>
    <t>Vácha</t>
  </si>
  <si>
    <t>Iva</t>
  </si>
  <si>
    <t>Mašková</t>
  </si>
  <si>
    <t>David</t>
  </si>
  <si>
    <t>Hanka</t>
  </si>
  <si>
    <t>Škvor</t>
  </si>
  <si>
    <t>Sládek ml.</t>
  </si>
  <si>
    <t>Filip</t>
  </si>
  <si>
    <t>2. kolo T.L.S.H. 2013/2014</t>
  </si>
  <si>
    <t>Výsledky po 2. kole T.L.S.H. 2013/2014</t>
  </si>
  <si>
    <t>1. kolo T.L.S.H. 2013/2014</t>
  </si>
  <si>
    <t>3. kolo T.L.S.H. 2013/2014</t>
  </si>
  <si>
    <t>Výsledky po 3. kole T.L.S.H. 2013/2014</t>
  </si>
  <si>
    <t>4. kolo T.L.S.H. 2013/2014</t>
  </si>
  <si>
    <t xml:space="preserve">Aneta </t>
  </si>
  <si>
    <t>Výsledky po 4. kole T.L.S.H. 2013/2014</t>
  </si>
  <si>
    <t>5. kolo T.L.S.H. 2013/2014</t>
  </si>
  <si>
    <t>Výsledky po 5. kole T.L.S.H. 2013/2014</t>
  </si>
  <si>
    <t>6. kolo T.L.S.H. 2013/2014</t>
  </si>
  <si>
    <t xml:space="preserve">Kateřina </t>
  </si>
  <si>
    <t>Výsledky po 6. kole T.L.S.H. 2013/2014</t>
  </si>
  <si>
    <t>7. kolo T.L.S.H. 2013/2014</t>
  </si>
  <si>
    <t>Výsledky po 7. kole T.L.S.H. 2013/2014</t>
  </si>
  <si>
    <t>8. kolo T.L.S.H. 2013/2014</t>
  </si>
  <si>
    <t xml:space="preserve">Vojtěch </t>
  </si>
  <si>
    <t xml:space="preserve">Tomáš </t>
  </si>
  <si>
    <t xml:space="preserve">Filip </t>
  </si>
  <si>
    <t>Výsledky po 8. kole T.L.S.H. 2013/2014</t>
  </si>
  <si>
    <t>9. kolo T.L.S.H. 2013/2014</t>
  </si>
  <si>
    <t>Výsledky po 9. kole T.L.S.H. 2013/2014</t>
  </si>
  <si>
    <t>10. kolo T.L.S.H. 2013/2014</t>
  </si>
  <si>
    <t xml:space="preserve">Pavel </t>
  </si>
  <si>
    <t xml:space="preserve">Jaroslav </t>
  </si>
  <si>
    <t xml:space="preserve">Daniel </t>
  </si>
  <si>
    <t>Sládek ml</t>
  </si>
  <si>
    <t>Celkové výsledky T.L.S.H. 2013/2014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</si>
</sst>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"/>
  </numFmts>
  <fonts count="3">
    <font>
      <sz val="11"/>
      <color theme="1"/>
      <name val="Calibri"/>
      <family val="2"/>
      <charset val="238"/>
      <scheme val="minor"/>
    </font>
    <font>
      <b/>
      <sz val="18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9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/>
    <xf numFmtId="0" fontId="0" fillId="0" borderId="1" xfId="0" applyFill="1" applyBorder="1"/>
    <xf numFmtId="0" fontId="0" fillId="0" borderId="0" xfId="0" applyAlignment="1">
      <alignment shrinkToFit="1"/>
    </xf>
    <xf numFmtId="0" fontId="0" fillId="2" borderId="2" xfId="0" applyFill="1" applyBorder="1" applyAlignment="1">
      <alignment horizontal="center" shrinkToFit="1"/>
    </xf>
    <xf numFmtId="0" fontId="0" fillId="0" borderId="3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2" fontId="0" fillId="0" borderId="1" xfId="0" applyNumberFormat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2" fontId="0" fillId="0" borderId="3" xfId="0" applyNumberFormat="1" applyBorder="1" applyAlignment="1">
      <alignment horizontal="center" shrinkToFit="1"/>
    </xf>
    <xf numFmtId="0" fontId="0" fillId="2" borderId="2" xfId="0" applyFill="1" applyBorder="1" applyAlignment="1">
      <alignment horizontal="left" shrinkToFit="1"/>
    </xf>
    <xf numFmtId="0" fontId="0" fillId="3" borderId="3" xfId="0" applyFill="1" applyBorder="1" applyAlignment="1">
      <alignment horizontal="center" shrinkToFit="1"/>
    </xf>
    <xf numFmtId="0" fontId="0" fillId="3" borderId="1" xfId="0" applyFill="1" applyBorder="1" applyAlignment="1">
      <alignment horizontal="center" shrinkToFit="1"/>
    </xf>
    <xf numFmtId="164" fontId="0" fillId="0" borderId="0" xfId="0" applyNumberFormat="1" applyAlignment="1">
      <alignment shrinkToFit="1"/>
    </xf>
    <xf numFmtId="0" fontId="0" fillId="0" borderId="0" xfId="0" applyAlignment="1">
      <alignment horizontal="right"/>
    </xf>
    <xf numFmtId="165" fontId="0" fillId="0" borderId="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shrinkToFit="1"/>
    </xf>
    <xf numFmtId="2" fontId="0" fillId="0" borderId="0" xfId="0" applyNumberFormat="1"/>
    <xf numFmtId="0" fontId="0" fillId="0" borderId="1" xfId="0" applyFill="1" applyBorder="1" applyAlignment="1">
      <alignment shrinkToFi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shrinkToFit="1"/>
    </xf>
    <xf numFmtId="0" fontId="2" fillId="3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shrinkToFit="1"/>
    </xf>
    <xf numFmtId="0" fontId="0" fillId="0" borderId="1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shrinkToFit="1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shrinkToFit="1"/>
    </xf>
    <xf numFmtId="0" fontId="0" fillId="2" borderId="4" xfId="0" applyFill="1" applyBorder="1" applyAlignment="1">
      <alignment horizontal="left" shrinkToFit="1"/>
    </xf>
    <xf numFmtId="2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shrinkToFit="1"/>
    </xf>
    <xf numFmtId="0" fontId="0" fillId="0" borderId="5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workbookViewId="0">
      <selection activeCell="L19" sqref="L19"/>
    </sheetView>
  </sheetViews>
  <sheetFormatPr defaultRowHeight="15"/>
  <cols>
    <col min="1" max="1" width="7" style="13" customWidth="1"/>
    <col min="3" max="3" width="11" customWidth="1"/>
    <col min="8" max="9" width="10.5703125" customWidth="1"/>
    <col min="14" max="14" width="10.7109375" customWidth="1"/>
    <col min="15" max="15" width="12.140625" customWidth="1"/>
  </cols>
  <sheetData>
    <row r="2" spans="1:15" ht="23.25">
      <c r="D2" s="11" t="s">
        <v>42</v>
      </c>
    </row>
    <row r="4" spans="1:15" ht="15.75" thickBot="1">
      <c r="A4" s="14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30</v>
      </c>
      <c r="O4" s="8" t="s">
        <v>13</v>
      </c>
    </row>
    <row r="5" spans="1:15">
      <c r="A5" s="15">
        <v>1</v>
      </c>
      <c r="B5" s="5" t="s">
        <v>14</v>
      </c>
      <c r="C5" s="5" t="s">
        <v>15</v>
      </c>
      <c r="D5" s="6">
        <v>10</v>
      </c>
      <c r="E5" s="6">
        <v>8</v>
      </c>
      <c r="F5" s="6">
        <v>1</v>
      </c>
      <c r="G5" s="6">
        <v>1</v>
      </c>
      <c r="H5" s="6">
        <f>14+13+8+8</f>
        <v>43</v>
      </c>
      <c r="I5" s="6">
        <f>3+9+3+3</f>
        <v>18</v>
      </c>
      <c r="J5" s="6">
        <f>2*E5+F5</f>
        <v>17</v>
      </c>
      <c r="K5" s="7">
        <f>H5/D5</f>
        <v>4.3</v>
      </c>
      <c r="L5" s="6">
        <v>1</v>
      </c>
      <c r="M5" s="7">
        <f>I5/D5</f>
        <v>1.8</v>
      </c>
      <c r="N5" s="6"/>
      <c r="O5" s="9">
        <v>14</v>
      </c>
    </row>
    <row r="6" spans="1:15">
      <c r="A6" s="16">
        <v>2</v>
      </c>
      <c r="B6" s="3" t="s">
        <v>16</v>
      </c>
      <c r="C6" s="3" t="s">
        <v>17</v>
      </c>
      <c r="D6" s="2">
        <v>10</v>
      </c>
      <c r="E6" s="2">
        <v>7</v>
      </c>
      <c r="F6" s="2">
        <v>1</v>
      </c>
      <c r="G6" s="2">
        <v>2</v>
      </c>
      <c r="H6" s="2">
        <f>15+8+7+3</f>
        <v>33</v>
      </c>
      <c r="I6" s="2">
        <f>10+11</f>
        <v>21</v>
      </c>
      <c r="J6" s="2">
        <f t="shared" ref="J6:J13" si="0">2*E6+F6</f>
        <v>15</v>
      </c>
      <c r="K6" s="4">
        <f t="shared" ref="K6:K13" si="1">H6/D6</f>
        <v>3.3</v>
      </c>
      <c r="L6" s="2">
        <v>1</v>
      </c>
      <c r="M6" s="4">
        <f t="shared" ref="M6:M13" si="2">I6/D6</f>
        <v>2.1</v>
      </c>
      <c r="N6" s="2"/>
      <c r="O6" s="10">
        <v>11</v>
      </c>
    </row>
    <row r="7" spans="1:15">
      <c r="A7" s="16">
        <v>3</v>
      </c>
      <c r="B7" s="3" t="s">
        <v>18</v>
      </c>
      <c r="C7" s="3" t="s">
        <v>19</v>
      </c>
      <c r="D7" s="2">
        <v>10</v>
      </c>
      <c r="E7" s="2">
        <v>6</v>
      </c>
      <c r="F7" s="2">
        <v>1</v>
      </c>
      <c r="G7" s="2">
        <v>3</v>
      </c>
      <c r="H7" s="2">
        <f>16+8+3+5</f>
        <v>32</v>
      </c>
      <c r="I7" s="2">
        <f>11+3+9</f>
        <v>23</v>
      </c>
      <c r="J7" s="2">
        <f t="shared" si="0"/>
        <v>13</v>
      </c>
      <c r="K7" s="4">
        <f t="shared" si="1"/>
        <v>3.2</v>
      </c>
      <c r="L7" s="2">
        <v>2</v>
      </c>
      <c r="M7" s="4">
        <f t="shared" si="2"/>
        <v>2.2999999999999998</v>
      </c>
      <c r="N7" s="2"/>
      <c r="O7" s="10">
        <v>9</v>
      </c>
    </row>
    <row r="8" spans="1:15">
      <c r="A8" s="16">
        <v>4</v>
      </c>
      <c r="B8" s="3" t="s">
        <v>20</v>
      </c>
      <c r="C8" s="3" t="s">
        <v>21</v>
      </c>
      <c r="D8" s="2">
        <v>10</v>
      </c>
      <c r="E8" s="2">
        <v>4</v>
      </c>
      <c r="F8" s="2">
        <v>1</v>
      </c>
      <c r="G8" s="2">
        <v>5</v>
      </c>
      <c r="H8" s="2">
        <f>11+7+4</f>
        <v>22</v>
      </c>
      <c r="I8" s="2">
        <f>7+4+12</f>
        <v>23</v>
      </c>
      <c r="J8" s="2">
        <f t="shared" si="0"/>
        <v>9</v>
      </c>
      <c r="K8" s="4">
        <f t="shared" si="1"/>
        <v>2.2000000000000002</v>
      </c>
      <c r="L8" s="2">
        <v>0</v>
      </c>
      <c r="M8" s="4">
        <f t="shared" si="2"/>
        <v>2.2999999999999998</v>
      </c>
      <c r="N8" s="2"/>
      <c r="O8" s="10">
        <v>7</v>
      </c>
    </row>
    <row r="9" spans="1:15">
      <c r="A9" s="16">
        <v>5</v>
      </c>
      <c r="B9" s="3" t="s">
        <v>22</v>
      </c>
      <c r="C9" s="3" t="s">
        <v>23</v>
      </c>
      <c r="D9" s="2">
        <v>11</v>
      </c>
      <c r="E9" s="2">
        <v>5</v>
      </c>
      <c r="F9" s="2">
        <v>2</v>
      </c>
      <c r="G9" s="2">
        <v>4</v>
      </c>
      <c r="H9" s="2">
        <f>12+4+15</f>
        <v>31</v>
      </c>
      <c r="I9" s="2">
        <f>10+7+7</f>
        <v>24</v>
      </c>
      <c r="J9" s="2">
        <f>2*E9+F9</f>
        <v>12</v>
      </c>
      <c r="K9" s="4">
        <f>H9/D9</f>
        <v>2.8181818181818183</v>
      </c>
      <c r="L9" s="2">
        <v>2</v>
      </c>
      <c r="M9" s="4">
        <f>I9/D9</f>
        <v>2.1818181818181817</v>
      </c>
      <c r="N9" s="2"/>
      <c r="O9" s="10">
        <v>5</v>
      </c>
    </row>
    <row r="10" spans="1:15">
      <c r="A10" s="16">
        <v>6</v>
      </c>
      <c r="B10" s="3" t="s">
        <v>24</v>
      </c>
      <c r="C10" s="3" t="s">
        <v>25</v>
      </c>
      <c r="D10" s="2">
        <v>11</v>
      </c>
      <c r="E10" s="2">
        <v>5</v>
      </c>
      <c r="F10" s="2">
        <v>2</v>
      </c>
      <c r="G10" s="2">
        <v>4</v>
      </c>
      <c r="H10" s="2">
        <f>8+9+13</f>
        <v>30</v>
      </c>
      <c r="I10" s="2">
        <f>9+13+7</f>
        <v>29</v>
      </c>
      <c r="J10" s="2">
        <f t="shared" si="0"/>
        <v>12</v>
      </c>
      <c r="K10" s="4">
        <f t="shared" si="1"/>
        <v>2.7272727272727271</v>
      </c>
      <c r="L10" s="2">
        <v>2</v>
      </c>
      <c r="M10" s="4">
        <f t="shared" si="2"/>
        <v>2.6363636363636362</v>
      </c>
      <c r="N10" s="2"/>
      <c r="O10" s="10">
        <v>4</v>
      </c>
    </row>
    <row r="11" spans="1:15">
      <c r="A11" s="16">
        <v>7</v>
      </c>
      <c r="B11" s="3" t="s">
        <v>14</v>
      </c>
      <c r="C11" s="3" t="s">
        <v>19</v>
      </c>
      <c r="D11" s="2">
        <v>9</v>
      </c>
      <c r="E11" s="2">
        <v>2</v>
      </c>
      <c r="F11" s="2">
        <v>1</v>
      </c>
      <c r="G11" s="2">
        <v>6</v>
      </c>
      <c r="H11" s="2">
        <f>3+3+12</f>
        <v>18</v>
      </c>
      <c r="I11" s="2">
        <f>12+11+8</f>
        <v>31</v>
      </c>
      <c r="J11" s="2">
        <f t="shared" si="0"/>
        <v>5</v>
      </c>
      <c r="K11" s="4">
        <f t="shared" si="1"/>
        <v>2</v>
      </c>
      <c r="L11" s="2">
        <v>1</v>
      </c>
      <c r="M11" s="4">
        <f t="shared" si="2"/>
        <v>3.4444444444444446</v>
      </c>
      <c r="N11" s="2"/>
      <c r="O11" s="10">
        <v>3</v>
      </c>
    </row>
    <row r="12" spans="1:15">
      <c r="A12" s="16">
        <v>8</v>
      </c>
      <c r="B12" s="3" t="s">
        <v>26</v>
      </c>
      <c r="C12" s="3" t="s">
        <v>27</v>
      </c>
      <c r="D12" s="2">
        <v>9</v>
      </c>
      <c r="E12" s="2">
        <v>2</v>
      </c>
      <c r="F12" s="2">
        <v>1</v>
      </c>
      <c r="G12" s="2">
        <v>6</v>
      </c>
      <c r="H12" s="2">
        <f>7+3+8</f>
        <v>18</v>
      </c>
      <c r="I12" s="2">
        <f>13+8+12</f>
        <v>33</v>
      </c>
      <c r="J12" s="2">
        <f t="shared" si="0"/>
        <v>5</v>
      </c>
      <c r="K12" s="4">
        <f t="shared" si="1"/>
        <v>2</v>
      </c>
      <c r="L12" s="2">
        <v>1</v>
      </c>
      <c r="M12" s="4">
        <f t="shared" si="2"/>
        <v>3.6666666666666665</v>
      </c>
      <c r="N12" s="2"/>
      <c r="O12" s="10">
        <v>2</v>
      </c>
    </row>
    <row r="13" spans="1:15">
      <c r="A13" s="16">
        <v>9</v>
      </c>
      <c r="B13" s="3" t="s">
        <v>28</v>
      </c>
      <c r="C13" s="3" t="s">
        <v>29</v>
      </c>
      <c r="D13" s="2">
        <v>8</v>
      </c>
      <c r="E13" s="2">
        <v>0</v>
      </c>
      <c r="F13" s="2">
        <v>0</v>
      </c>
      <c r="G13" s="2">
        <v>8</v>
      </c>
      <c r="H13" s="2">
        <v>2</v>
      </c>
      <c r="I13" s="2">
        <v>27</v>
      </c>
      <c r="J13" s="2">
        <f t="shared" si="0"/>
        <v>0</v>
      </c>
      <c r="K13" s="4">
        <f t="shared" si="1"/>
        <v>0.25</v>
      </c>
      <c r="L13" s="2">
        <v>0</v>
      </c>
      <c r="M13" s="4">
        <f t="shared" si="2"/>
        <v>3.375</v>
      </c>
      <c r="N13" s="2"/>
      <c r="O13" s="10">
        <v>1</v>
      </c>
    </row>
    <row r="14" spans="1:15">
      <c r="D14" s="1">
        <f>SUM(D5:D13)/2</f>
        <v>44</v>
      </c>
      <c r="H14" s="1">
        <f>SUM(H5:H13)</f>
        <v>229</v>
      </c>
      <c r="I14" s="1">
        <f>SUM(I5:I13)</f>
        <v>229</v>
      </c>
    </row>
    <row r="15" spans="1:15">
      <c r="G15">
        <f>H14/D14</f>
        <v>5.2045454545454541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selection activeCell="G38" sqref="G38"/>
    </sheetView>
  </sheetViews>
  <sheetFormatPr defaultRowHeight="15"/>
  <cols>
    <col min="3" max="3" width="9.42578125" customWidth="1"/>
  </cols>
  <sheetData>
    <row r="1" spans="1:15" ht="23.25">
      <c r="B1" s="11" t="s">
        <v>62</v>
      </c>
    </row>
    <row r="3" spans="1:15" ht="15.75" thickBot="1">
      <c r="A3" s="14" t="s">
        <v>0</v>
      </c>
      <c r="B3" s="41" t="s">
        <v>1</v>
      </c>
      <c r="C3" s="42" t="s">
        <v>2</v>
      </c>
      <c r="D3" s="41" t="s">
        <v>3</v>
      </c>
      <c r="E3" s="42" t="s">
        <v>4</v>
      </c>
      <c r="F3" s="42" t="s">
        <v>5</v>
      </c>
      <c r="G3" s="42" t="s">
        <v>6</v>
      </c>
      <c r="H3" s="43" t="s">
        <v>7</v>
      </c>
      <c r="I3" s="43" t="s">
        <v>8</v>
      </c>
      <c r="J3" s="42" t="s">
        <v>9</v>
      </c>
      <c r="K3" s="42" t="s">
        <v>10</v>
      </c>
      <c r="L3" s="42" t="s">
        <v>11</v>
      </c>
      <c r="M3" s="42" t="s">
        <v>12</v>
      </c>
      <c r="N3" s="43" t="s">
        <v>30</v>
      </c>
      <c r="O3" s="21" t="s">
        <v>13</v>
      </c>
    </row>
    <row r="4" spans="1:15">
      <c r="A4" s="15">
        <v>1</v>
      </c>
      <c r="B4" s="3" t="s">
        <v>63</v>
      </c>
      <c r="C4" s="3" t="s">
        <v>15</v>
      </c>
      <c r="D4" s="3">
        <v>11</v>
      </c>
      <c r="E4" s="3">
        <v>8</v>
      </c>
      <c r="F4" s="3">
        <v>2</v>
      </c>
      <c r="G4" s="3">
        <v>1</v>
      </c>
      <c r="H4" s="3">
        <f>11+6+12+7</f>
        <v>36</v>
      </c>
      <c r="I4" s="3">
        <f>2+1+10+3</f>
        <v>16</v>
      </c>
      <c r="J4" s="3">
        <f>E4*2+F4</f>
        <v>18</v>
      </c>
      <c r="K4" s="44">
        <f>H4/D4</f>
        <v>3.2727272727272729</v>
      </c>
      <c r="L4" s="3">
        <v>3</v>
      </c>
      <c r="M4" s="44">
        <f>I4/D4</f>
        <v>1.4545454545454546</v>
      </c>
      <c r="N4" s="3"/>
      <c r="O4" s="35">
        <v>15</v>
      </c>
    </row>
    <row r="5" spans="1:15">
      <c r="A5" s="16">
        <v>2</v>
      </c>
      <c r="B5" s="3" t="s">
        <v>64</v>
      </c>
      <c r="C5" s="3" t="s">
        <v>23</v>
      </c>
      <c r="D5" s="3">
        <v>11</v>
      </c>
      <c r="E5" s="3">
        <v>6</v>
      </c>
      <c r="F5" s="3">
        <v>1</v>
      </c>
      <c r="G5" s="3">
        <v>4</v>
      </c>
      <c r="H5" s="3">
        <f>11+5+5+3</f>
        <v>24</v>
      </c>
      <c r="I5" s="3">
        <f>5+4+4+7</f>
        <v>20</v>
      </c>
      <c r="J5" s="3">
        <f t="shared" ref="J5:J13" si="0">E5*2+F5</f>
        <v>13</v>
      </c>
      <c r="K5" s="44">
        <f t="shared" ref="K5:K13" si="1">H5/D5</f>
        <v>2.1818181818181817</v>
      </c>
      <c r="L5" s="3">
        <v>1</v>
      </c>
      <c r="M5" s="44">
        <f t="shared" ref="M5:M13" si="2">I5/D5</f>
        <v>1.8181818181818181</v>
      </c>
      <c r="N5" s="3"/>
      <c r="O5" s="33">
        <v>12</v>
      </c>
    </row>
    <row r="6" spans="1:15">
      <c r="A6" s="16">
        <v>3</v>
      </c>
      <c r="B6" s="3" t="s">
        <v>65</v>
      </c>
      <c r="C6" s="3" t="s">
        <v>21</v>
      </c>
      <c r="D6" s="3">
        <v>11</v>
      </c>
      <c r="E6" s="3">
        <v>8</v>
      </c>
      <c r="F6" s="3">
        <v>1</v>
      </c>
      <c r="G6" s="3">
        <v>2</v>
      </c>
      <c r="H6" s="3">
        <f>12+8+4+10</f>
        <v>34</v>
      </c>
      <c r="I6" s="3">
        <f>3+2+5+5</f>
        <v>15</v>
      </c>
      <c r="J6" s="3">
        <f t="shared" si="0"/>
        <v>17</v>
      </c>
      <c r="K6" s="44">
        <f t="shared" si="1"/>
        <v>3.0909090909090908</v>
      </c>
      <c r="L6" s="3">
        <v>2</v>
      </c>
      <c r="M6" s="44">
        <f t="shared" si="2"/>
        <v>1.3636363636363635</v>
      </c>
      <c r="N6" s="3"/>
      <c r="O6" s="33">
        <v>10</v>
      </c>
    </row>
    <row r="7" spans="1:15">
      <c r="A7" s="16">
        <v>4</v>
      </c>
      <c r="B7" s="3" t="s">
        <v>18</v>
      </c>
      <c r="C7" s="3" t="s">
        <v>19</v>
      </c>
      <c r="D7" s="3">
        <v>13</v>
      </c>
      <c r="E7" s="3">
        <v>7</v>
      </c>
      <c r="F7" s="3">
        <v>1</v>
      </c>
      <c r="G7" s="3">
        <v>5</v>
      </c>
      <c r="H7" s="3">
        <f>13+10+10+5</f>
        <v>38</v>
      </c>
      <c r="I7" s="3">
        <f>4+6+12+10</f>
        <v>32</v>
      </c>
      <c r="J7" s="3">
        <f t="shared" si="0"/>
        <v>15</v>
      </c>
      <c r="K7" s="44">
        <f t="shared" si="1"/>
        <v>2.9230769230769229</v>
      </c>
      <c r="L7" s="3">
        <v>1</v>
      </c>
      <c r="M7" s="44">
        <f t="shared" si="2"/>
        <v>2.4615384615384617</v>
      </c>
      <c r="N7" s="3"/>
      <c r="O7" s="33">
        <v>8</v>
      </c>
    </row>
    <row r="8" spans="1:15">
      <c r="A8" s="16">
        <v>5</v>
      </c>
      <c r="B8" s="3" t="s">
        <v>57</v>
      </c>
      <c r="C8" s="3" t="s">
        <v>27</v>
      </c>
      <c r="D8" s="3">
        <v>10</v>
      </c>
      <c r="E8" s="3">
        <v>5</v>
      </c>
      <c r="F8" s="3">
        <v>1</v>
      </c>
      <c r="G8" s="3">
        <v>4</v>
      </c>
      <c r="H8" s="3">
        <f>9+4+12</f>
        <v>25</v>
      </c>
      <c r="I8" s="3">
        <f>12+5+3</f>
        <v>20</v>
      </c>
      <c r="J8" s="3">
        <f t="shared" si="0"/>
        <v>11</v>
      </c>
      <c r="K8" s="44">
        <f t="shared" si="1"/>
        <v>2.5</v>
      </c>
      <c r="L8" s="3">
        <v>1</v>
      </c>
      <c r="M8" s="44">
        <f t="shared" si="2"/>
        <v>2</v>
      </c>
      <c r="N8" s="3"/>
      <c r="O8" s="33">
        <v>6</v>
      </c>
    </row>
    <row r="9" spans="1:15">
      <c r="A9" s="16">
        <v>6</v>
      </c>
      <c r="B9" s="3" t="s">
        <v>63</v>
      </c>
      <c r="C9" s="3" t="s">
        <v>19</v>
      </c>
      <c r="D9" s="3">
        <v>10</v>
      </c>
      <c r="E9" s="48">
        <v>5</v>
      </c>
      <c r="F9" s="3">
        <v>0</v>
      </c>
      <c r="G9" s="3">
        <v>5</v>
      </c>
      <c r="H9" s="3">
        <f>6+6+15</f>
        <v>27</v>
      </c>
      <c r="I9" s="3">
        <f>9+10+3</f>
        <v>22</v>
      </c>
      <c r="J9" s="3">
        <f t="shared" si="0"/>
        <v>10</v>
      </c>
      <c r="K9" s="44">
        <f t="shared" si="1"/>
        <v>2.7</v>
      </c>
      <c r="L9" s="3">
        <v>1</v>
      </c>
      <c r="M9" s="44">
        <f t="shared" si="2"/>
        <v>2.2000000000000002</v>
      </c>
      <c r="N9" s="3"/>
      <c r="O9" s="33">
        <v>5</v>
      </c>
    </row>
    <row r="10" spans="1:15">
      <c r="A10" s="16">
        <v>7</v>
      </c>
      <c r="B10" s="3" t="s">
        <v>65</v>
      </c>
      <c r="C10" s="3" t="s">
        <v>37</v>
      </c>
      <c r="D10" s="3">
        <v>9</v>
      </c>
      <c r="E10" s="3">
        <v>2</v>
      </c>
      <c r="F10" s="3">
        <v>2</v>
      </c>
      <c r="G10" s="3">
        <v>5</v>
      </c>
      <c r="H10" s="3">
        <f>7+2+4</f>
        <v>13</v>
      </c>
      <c r="I10" s="3">
        <f>8+8+10</f>
        <v>26</v>
      </c>
      <c r="J10" s="3">
        <f t="shared" si="0"/>
        <v>6</v>
      </c>
      <c r="K10" s="44">
        <f t="shared" si="1"/>
        <v>1.4444444444444444</v>
      </c>
      <c r="L10" s="3">
        <v>1</v>
      </c>
      <c r="M10" s="44">
        <f t="shared" si="2"/>
        <v>2.8888888888888888</v>
      </c>
      <c r="N10" s="3"/>
      <c r="O10" s="33">
        <v>4</v>
      </c>
    </row>
    <row r="11" spans="1:15">
      <c r="A11" s="15">
        <v>8</v>
      </c>
      <c r="B11" s="3" t="s">
        <v>58</v>
      </c>
      <c r="C11" s="3" t="s">
        <v>37</v>
      </c>
      <c r="D11" s="3">
        <v>9</v>
      </c>
      <c r="E11" s="3">
        <v>1</v>
      </c>
      <c r="F11" s="3">
        <v>0</v>
      </c>
      <c r="G11" s="3">
        <v>8</v>
      </c>
      <c r="H11" s="3">
        <f>5</f>
        <v>5</v>
      </c>
      <c r="I11" s="3">
        <f>11+6+15</f>
        <v>32</v>
      </c>
      <c r="J11" s="3">
        <f t="shared" si="0"/>
        <v>2</v>
      </c>
      <c r="K11" s="44">
        <f t="shared" si="1"/>
        <v>0.55555555555555558</v>
      </c>
      <c r="L11" s="3">
        <v>1</v>
      </c>
      <c r="M11" s="44">
        <f t="shared" si="2"/>
        <v>3.5555555555555554</v>
      </c>
      <c r="N11" s="3"/>
      <c r="O11" s="33">
        <v>3</v>
      </c>
    </row>
    <row r="12" spans="1:15">
      <c r="A12" s="16">
        <v>9</v>
      </c>
      <c r="B12" s="3" t="s">
        <v>28</v>
      </c>
      <c r="C12" s="3" t="s">
        <v>29</v>
      </c>
      <c r="D12" s="3">
        <v>7</v>
      </c>
      <c r="E12" s="3">
        <v>1</v>
      </c>
      <c r="F12" s="3">
        <v>1</v>
      </c>
      <c r="G12" s="3">
        <v>5</v>
      </c>
      <c r="H12" s="3">
        <v>8</v>
      </c>
      <c r="I12" s="3">
        <f>11+2</f>
        <v>13</v>
      </c>
      <c r="J12" s="3">
        <f t="shared" si="0"/>
        <v>3</v>
      </c>
      <c r="K12" s="44">
        <f t="shared" si="1"/>
        <v>1.1428571428571428</v>
      </c>
      <c r="L12" s="3">
        <v>1</v>
      </c>
      <c r="M12" s="44">
        <f t="shared" si="2"/>
        <v>1.8571428571428572</v>
      </c>
      <c r="N12" s="3"/>
      <c r="O12" s="33">
        <v>2</v>
      </c>
    </row>
    <row r="13" spans="1:15">
      <c r="A13" s="15">
        <v>10</v>
      </c>
      <c r="B13" s="3" t="s">
        <v>64</v>
      </c>
      <c r="C13" s="3" t="s">
        <v>66</v>
      </c>
      <c r="D13" s="3">
        <v>7</v>
      </c>
      <c r="E13" s="3">
        <v>1</v>
      </c>
      <c r="F13" s="3">
        <v>1</v>
      </c>
      <c r="G13" s="3">
        <v>5</v>
      </c>
      <c r="H13" s="3">
        <v>5</v>
      </c>
      <c r="I13" s="3">
        <v>19</v>
      </c>
      <c r="J13" s="3">
        <f t="shared" si="0"/>
        <v>3</v>
      </c>
      <c r="K13" s="44">
        <f t="shared" si="1"/>
        <v>0.7142857142857143</v>
      </c>
      <c r="L13" s="3">
        <v>1</v>
      </c>
      <c r="M13" s="44">
        <f t="shared" si="2"/>
        <v>2.7142857142857144</v>
      </c>
      <c r="N13" s="3"/>
      <c r="O13" s="33">
        <v>1</v>
      </c>
    </row>
    <row r="14" spans="1:15">
      <c r="D14">
        <f>SUM(D4:D13)/2</f>
        <v>49</v>
      </c>
      <c r="H14">
        <f>SUM(H4:H13)</f>
        <v>215</v>
      </c>
      <c r="I14">
        <f>SUM(I4:I13)</f>
        <v>215</v>
      </c>
      <c r="K14" s="29"/>
    </row>
    <row r="16" spans="1:15">
      <c r="H16">
        <f>H14/D14</f>
        <v>4.3877551020408161</v>
      </c>
    </row>
    <row r="18" spans="1:15" ht="23.25">
      <c r="B18" s="11" t="s">
        <v>67</v>
      </c>
    </row>
    <row r="20" spans="1:15" ht="15.75" thickBot="1">
      <c r="A20" s="14" t="s">
        <v>0</v>
      </c>
      <c r="B20" s="8" t="s">
        <v>1</v>
      </c>
      <c r="C20" s="14" t="s">
        <v>2</v>
      </c>
      <c r="D20" s="8" t="s">
        <v>3</v>
      </c>
      <c r="E20" s="14" t="s">
        <v>4</v>
      </c>
      <c r="F20" s="14" t="s">
        <v>5</v>
      </c>
      <c r="G20" s="14" t="s">
        <v>6</v>
      </c>
      <c r="H20" s="21" t="s">
        <v>7</v>
      </c>
      <c r="I20" s="21" t="s">
        <v>8</v>
      </c>
      <c r="J20" s="14" t="s">
        <v>9</v>
      </c>
      <c r="K20" s="14" t="s">
        <v>10</v>
      </c>
      <c r="L20" s="14" t="s">
        <v>11</v>
      </c>
      <c r="M20" s="14" t="s">
        <v>12</v>
      </c>
      <c r="N20" s="21" t="s">
        <v>30</v>
      </c>
      <c r="O20" s="21" t="s">
        <v>13</v>
      </c>
    </row>
    <row r="21" spans="1:15">
      <c r="A21" s="16">
        <v>1</v>
      </c>
      <c r="B21" s="3" t="s">
        <v>14</v>
      </c>
      <c r="C21" s="16" t="s">
        <v>15</v>
      </c>
      <c r="D21" s="2">
        <f>11+60</f>
        <v>71</v>
      </c>
      <c r="E21" s="2">
        <f>37+8</f>
        <v>45</v>
      </c>
      <c r="F21" s="2">
        <v>12</v>
      </c>
      <c r="G21" s="2">
        <v>14</v>
      </c>
      <c r="H21" s="2">
        <f>203+36</f>
        <v>239</v>
      </c>
      <c r="I21" s="2">
        <f>16+135</f>
        <v>151</v>
      </c>
      <c r="J21" s="2">
        <f>E21*2+F21</f>
        <v>102</v>
      </c>
      <c r="K21" s="4">
        <f>H21/D21</f>
        <v>3.3661971830985915</v>
      </c>
      <c r="L21" s="2">
        <v>9</v>
      </c>
      <c r="M21" s="4">
        <f>I21/D21</f>
        <v>2.1267605633802815</v>
      </c>
      <c r="N21" s="4">
        <f>16/7</f>
        <v>2.2857142857142856</v>
      </c>
      <c r="O21" s="10">
        <f>15+67</f>
        <v>82</v>
      </c>
    </row>
    <row r="22" spans="1:15">
      <c r="A22" s="16">
        <v>2</v>
      </c>
      <c r="B22" s="3" t="s">
        <v>56</v>
      </c>
      <c r="C22" s="3" t="s">
        <v>19</v>
      </c>
      <c r="D22" s="2">
        <f>76+13</f>
        <v>89</v>
      </c>
      <c r="E22" s="2">
        <f>7+47</f>
        <v>54</v>
      </c>
      <c r="F22" s="2">
        <v>10</v>
      </c>
      <c r="G22" s="2">
        <v>25</v>
      </c>
      <c r="H22" s="2">
        <f>38+261</f>
        <v>299</v>
      </c>
      <c r="I22" s="2">
        <f>32+153</f>
        <v>185</v>
      </c>
      <c r="J22" s="2">
        <f>E22*2+F22</f>
        <v>118</v>
      </c>
      <c r="K22" s="4">
        <f>H22/D22</f>
        <v>3.3595505617977528</v>
      </c>
      <c r="L22" s="2">
        <v>20</v>
      </c>
      <c r="M22" s="4">
        <f>I22/D22</f>
        <v>2.0786516853932584</v>
      </c>
      <c r="N22" s="4">
        <f>24/8</f>
        <v>3</v>
      </c>
      <c r="O22" s="10">
        <v>80</v>
      </c>
    </row>
    <row r="23" spans="1:15">
      <c r="A23" s="16">
        <v>3</v>
      </c>
      <c r="B23" s="3" t="s">
        <v>22</v>
      </c>
      <c r="C23" s="3" t="s">
        <v>23</v>
      </c>
      <c r="D23" s="2">
        <f>99</f>
        <v>99</v>
      </c>
      <c r="E23" s="2">
        <f>6+47</f>
        <v>53</v>
      </c>
      <c r="F23" s="2">
        <v>14</v>
      </c>
      <c r="G23" s="2">
        <v>32</v>
      </c>
      <c r="H23" s="2">
        <f>239+24</f>
        <v>263</v>
      </c>
      <c r="I23" s="2">
        <f>20+170</f>
        <v>190</v>
      </c>
      <c r="J23" s="2">
        <f>E23*2+F23</f>
        <v>120</v>
      </c>
      <c r="K23" s="4">
        <f>H23/D23</f>
        <v>2.6565656565656566</v>
      </c>
      <c r="L23" s="2">
        <v>18</v>
      </c>
      <c r="M23" s="4">
        <f>I23/D23</f>
        <v>1.9191919191919191</v>
      </c>
      <c r="N23" s="4">
        <f>32/9</f>
        <v>3.5555555555555554</v>
      </c>
      <c r="O23" s="10">
        <f>12+65</f>
        <v>77</v>
      </c>
    </row>
    <row r="24" spans="1:15">
      <c r="A24" s="16">
        <v>4</v>
      </c>
      <c r="B24" s="5" t="s">
        <v>16</v>
      </c>
      <c r="C24" s="15" t="s">
        <v>17</v>
      </c>
      <c r="D24" s="6">
        <f>54+11</f>
        <v>65</v>
      </c>
      <c r="E24" s="6">
        <f>7+34</f>
        <v>41</v>
      </c>
      <c r="F24" s="6">
        <v>14</v>
      </c>
      <c r="G24" s="6">
        <v>10</v>
      </c>
      <c r="H24" s="6">
        <f>172+34</f>
        <v>206</v>
      </c>
      <c r="I24" s="6">
        <f>16+112</f>
        <v>128</v>
      </c>
      <c r="J24" s="6">
        <f>E24*2+F24</f>
        <v>96</v>
      </c>
      <c r="K24" s="7">
        <f>H24/D24</f>
        <v>3.1692307692307691</v>
      </c>
      <c r="L24" s="6">
        <v>8</v>
      </c>
      <c r="M24" s="7">
        <f>I24/D24</f>
        <v>1.9692307692307693</v>
      </c>
      <c r="N24" s="7">
        <f>10/6</f>
        <v>1.6666666666666667</v>
      </c>
      <c r="O24" s="9">
        <f>14+61</f>
        <v>75</v>
      </c>
    </row>
    <row r="25" spans="1:15">
      <c r="A25" s="16">
        <v>5</v>
      </c>
      <c r="B25" s="3" t="s">
        <v>20</v>
      </c>
      <c r="C25" s="16" t="s">
        <v>21</v>
      </c>
      <c r="D25" s="2">
        <v>50</v>
      </c>
      <c r="E25" s="2">
        <v>32</v>
      </c>
      <c r="F25" s="2">
        <v>5</v>
      </c>
      <c r="G25" s="2">
        <v>13</v>
      </c>
      <c r="H25" s="2">
        <f>34+114</f>
        <v>148</v>
      </c>
      <c r="I25" s="2">
        <f>15+73</f>
        <v>88</v>
      </c>
      <c r="J25" s="2">
        <f>E25*2+F25</f>
        <v>69</v>
      </c>
      <c r="K25" s="4">
        <f>H25/D25</f>
        <v>2.96</v>
      </c>
      <c r="L25" s="2">
        <v>9</v>
      </c>
      <c r="M25" s="4">
        <f>I25/D25</f>
        <v>1.76</v>
      </c>
      <c r="N25" s="4">
        <f>13/5</f>
        <v>2.6</v>
      </c>
      <c r="O25" s="10">
        <v>50</v>
      </c>
    </row>
    <row r="26" spans="1:15">
      <c r="A26" s="16">
        <v>6</v>
      </c>
      <c r="B26" s="3" t="s">
        <v>24</v>
      </c>
      <c r="C26" s="3" t="s">
        <v>25</v>
      </c>
      <c r="D26" s="2">
        <v>60</v>
      </c>
      <c r="E26" s="2">
        <v>29</v>
      </c>
      <c r="F26" s="2">
        <v>12</v>
      </c>
      <c r="G26" s="2">
        <v>19</v>
      </c>
      <c r="H26" s="2">
        <f>27+125</f>
        <v>152</v>
      </c>
      <c r="I26" s="2">
        <f>121+11</f>
        <v>132</v>
      </c>
      <c r="J26" s="2">
        <f>E26*2+F26</f>
        <v>70</v>
      </c>
      <c r="K26" s="4">
        <f>H26/D26</f>
        <v>2.5333333333333332</v>
      </c>
      <c r="L26" s="2">
        <v>10</v>
      </c>
      <c r="M26" s="4">
        <f>I26/D26</f>
        <v>2.2000000000000002</v>
      </c>
      <c r="N26" s="4">
        <f>24/6</f>
        <v>4</v>
      </c>
      <c r="O26" s="10">
        <f>36+11</f>
        <v>47</v>
      </c>
    </row>
    <row r="27" spans="1:15">
      <c r="A27" s="16">
        <v>7</v>
      </c>
      <c r="B27" s="3" t="s">
        <v>57</v>
      </c>
      <c r="C27" s="3" t="s">
        <v>27</v>
      </c>
      <c r="D27" s="2">
        <v>85</v>
      </c>
      <c r="E27" s="2">
        <v>31</v>
      </c>
      <c r="F27" s="2">
        <v>13</v>
      </c>
      <c r="G27" s="2">
        <v>41</v>
      </c>
      <c r="H27" s="2">
        <f>185+25</f>
        <v>210</v>
      </c>
      <c r="I27" s="2">
        <f>20+221</f>
        <v>241</v>
      </c>
      <c r="J27" s="2">
        <f t="shared" ref="J22:J35" si="3">E27*2+F27</f>
        <v>75</v>
      </c>
      <c r="K27" s="4">
        <f t="shared" ref="K22:K35" si="4">H27/D27</f>
        <v>2.4705882352941178</v>
      </c>
      <c r="L27" s="2">
        <v>11</v>
      </c>
      <c r="M27" s="4">
        <f t="shared" ref="M22:M35" si="5">I27/D27</f>
        <v>2.835294117647059</v>
      </c>
      <c r="N27" s="4">
        <f>51/9</f>
        <v>5.666666666666667</v>
      </c>
      <c r="O27" s="10">
        <v>46</v>
      </c>
    </row>
    <row r="28" spans="1:15">
      <c r="A28" s="16">
        <v>8</v>
      </c>
      <c r="B28" s="3" t="s">
        <v>14</v>
      </c>
      <c r="C28" s="3" t="s">
        <v>19</v>
      </c>
      <c r="D28" s="2">
        <v>80</v>
      </c>
      <c r="E28" s="2">
        <v>36</v>
      </c>
      <c r="F28" s="2">
        <v>11</v>
      </c>
      <c r="G28" s="2">
        <v>33</v>
      </c>
      <c r="H28" s="2">
        <f>153+27</f>
        <v>180</v>
      </c>
      <c r="I28" s="2">
        <f>22+153</f>
        <v>175</v>
      </c>
      <c r="J28" s="2">
        <f t="shared" si="3"/>
        <v>83</v>
      </c>
      <c r="K28" s="4">
        <f t="shared" si="4"/>
        <v>2.25</v>
      </c>
      <c r="L28" s="2">
        <v>11</v>
      </c>
      <c r="M28" s="4">
        <f t="shared" si="5"/>
        <v>2.1875</v>
      </c>
      <c r="N28" s="4">
        <f>52/9</f>
        <v>5.7777777777777777</v>
      </c>
      <c r="O28" s="10">
        <f>38+5</f>
        <v>43</v>
      </c>
    </row>
    <row r="29" spans="1:15">
      <c r="A29" s="16">
        <v>9</v>
      </c>
      <c r="B29" s="3" t="s">
        <v>20</v>
      </c>
      <c r="C29" s="3" t="s">
        <v>37</v>
      </c>
      <c r="D29" s="2">
        <v>80</v>
      </c>
      <c r="E29" s="2">
        <v>15</v>
      </c>
      <c r="F29" s="2">
        <v>15</v>
      </c>
      <c r="G29" s="2">
        <v>50</v>
      </c>
      <c r="H29" s="2">
        <f>102+13</f>
        <v>115</v>
      </c>
      <c r="I29" s="2">
        <v>226</v>
      </c>
      <c r="J29" s="2">
        <f>E29*2+F29</f>
        <v>45</v>
      </c>
      <c r="K29" s="4">
        <f>H29/D29</f>
        <v>1.4375</v>
      </c>
      <c r="L29" s="2">
        <v>7</v>
      </c>
      <c r="M29" s="4">
        <f>I29/D29</f>
        <v>2.8250000000000002</v>
      </c>
      <c r="N29" s="4">
        <f>69/9</f>
        <v>7.666666666666667</v>
      </c>
      <c r="O29" s="10">
        <v>25</v>
      </c>
    </row>
    <row r="30" spans="1:15">
      <c r="A30" s="16">
        <v>10</v>
      </c>
      <c r="B30" s="3" t="s">
        <v>28</v>
      </c>
      <c r="C30" s="3" t="s">
        <v>29</v>
      </c>
      <c r="D30" s="2">
        <v>75</v>
      </c>
      <c r="E30" s="2">
        <v>13</v>
      </c>
      <c r="F30" s="2">
        <v>9</v>
      </c>
      <c r="G30" s="2">
        <v>53</v>
      </c>
      <c r="H30" s="2">
        <f>76+8</f>
        <v>84</v>
      </c>
      <c r="I30" s="2">
        <f>13+160</f>
        <v>173</v>
      </c>
      <c r="J30" s="2">
        <f>E30*2+F30</f>
        <v>35</v>
      </c>
      <c r="K30" s="4">
        <f>H30/D30</f>
        <v>1.1200000000000001</v>
      </c>
      <c r="L30" s="2">
        <v>12</v>
      </c>
      <c r="M30" s="4">
        <f>I30/D30</f>
        <v>2.3066666666666666</v>
      </c>
      <c r="N30" s="4">
        <f>70/9</f>
        <v>7.7777777777777777</v>
      </c>
      <c r="O30" s="10">
        <v>22</v>
      </c>
    </row>
    <row r="31" spans="1:15">
      <c r="A31" s="16">
        <v>11</v>
      </c>
      <c r="B31" s="3" t="s">
        <v>31</v>
      </c>
      <c r="C31" s="16" t="s">
        <v>32</v>
      </c>
      <c r="D31" s="2">
        <v>14</v>
      </c>
      <c r="E31" s="17">
        <v>10</v>
      </c>
      <c r="F31" s="17">
        <v>3</v>
      </c>
      <c r="G31" s="17">
        <v>1</v>
      </c>
      <c r="H31" s="17">
        <f>23+11+12+7</f>
        <v>53</v>
      </c>
      <c r="I31" s="17">
        <f>9+6+3+5</f>
        <v>23</v>
      </c>
      <c r="J31" s="2">
        <f>E31*2+F31</f>
        <v>23</v>
      </c>
      <c r="K31" s="4">
        <f>H31/D31</f>
        <v>3.7857142857142856</v>
      </c>
      <c r="L31" s="17">
        <v>4</v>
      </c>
      <c r="M31" s="4">
        <f>I31/D31</f>
        <v>1.6428571428571428</v>
      </c>
      <c r="N31" s="18">
        <f>1/1</f>
        <v>1</v>
      </c>
      <c r="O31" s="34">
        <v>21</v>
      </c>
    </row>
    <row r="32" spans="1:15">
      <c r="A32" s="16">
        <v>12</v>
      </c>
      <c r="B32" s="3" t="s">
        <v>58</v>
      </c>
      <c r="C32" s="3" t="s">
        <v>37</v>
      </c>
      <c r="D32" s="2">
        <v>71</v>
      </c>
      <c r="E32" s="2">
        <v>4</v>
      </c>
      <c r="F32" s="2">
        <v>12</v>
      </c>
      <c r="G32" s="2">
        <v>55</v>
      </c>
      <c r="H32" s="2">
        <v>63</v>
      </c>
      <c r="I32" s="2">
        <f>199+32</f>
        <v>231</v>
      </c>
      <c r="J32" s="2">
        <f>E32*2+F32</f>
        <v>20</v>
      </c>
      <c r="K32" s="4">
        <f>H32/D32</f>
        <v>0.88732394366197187</v>
      </c>
      <c r="L32" s="2">
        <v>5</v>
      </c>
      <c r="M32" s="4">
        <f>I32/D32</f>
        <v>3.2535211267605635</v>
      </c>
      <c r="N32" s="4">
        <f>79/9</f>
        <v>8.7777777777777786</v>
      </c>
      <c r="O32" s="10">
        <v>15</v>
      </c>
    </row>
    <row r="33" spans="1:15">
      <c r="A33" s="16">
        <v>13</v>
      </c>
      <c r="B33" s="12" t="s">
        <v>33</v>
      </c>
      <c r="C33" s="30" t="s">
        <v>34</v>
      </c>
      <c r="D33" s="2">
        <v>13</v>
      </c>
      <c r="E33" s="17">
        <v>7</v>
      </c>
      <c r="F33" s="17">
        <v>1</v>
      </c>
      <c r="G33" s="17">
        <v>5</v>
      </c>
      <c r="H33" s="17">
        <f>13+10+3+11</f>
        <v>37</v>
      </c>
      <c r="I33" s="17">
        <f>7+4+12+11</f>
        <v>34</v>
      </c>
      <c r="J33" s="2">
        <f>E33*2+F33</f>
        <v>15</v>
      </c>
      <c r="K33" s="4">
        <f>H33/D33</f>
        <v>2.8461538461538463</v>
      </c>
      <c r="L33" s="17">
        <v>2</v>
      </c>
      <c r="M33" s="4">
        <f>I33/D33</f>
        <v>2.6153846153846154</v>
      </c>
      <c r="N33" s="18">
        <f>4/1</f>
        <v>4</v>
      </c>
      <c r="O33" s="34">
        <v>14</v>
      </c>
    </row>
    <row r="34" spans="1:15">
      <c r="A34" s="16">
        <v>14</v>
      </c>
      <c r="B34" s="3" t="s">
        <v>22</v>
      </c>
      <c r="C34" s="3" t="s">
        <v>38</v>
      </c>
      <c r="D34" s="2">
        <v>39</v>
      </c>
      <c r="E34" s="2">
        <v>7</v>
      </c>
      <c r="F34" s="2">
        <v>5</v>
      </c>
      <c r="G34" s="2">
        <v>27</v>
      </c>
      <c r="H34" s="2">
        <v>40</v>
      </c>
      <c r="I34" s="2">
        <f>19+97</f>
        <v>116</v>
      </c>
      <c r="J34" s="2">
        <f t="shared" si="3"/>
        <v>19</v>
      </c>
      <c r="K34" s="4">
        <f t="shared" si="4"/>
        <v>1.0256410256410255</v>
      </c>
      <c r="L34" s="2">
        <v>2</v>
      </c>
      <c r="M34" s="4">
        <f t="shared" si="5"/>
        <v>2.9743589743589745</v>
      </c>
      <c r="N34" s="4">
        <f>45/5</f>
        <v>9</v>
      </c>
      <c r="O34" s="10">
        <v>11</v>
      </c>
    </row>
    <row r="35" spans="1:15">
      <c r="A35" s="16">
        <v>15</v>
      </c>
      <c r="B35" s="3" t="s">
        <v>35</v>
      </c>
      <c r="C35" s="16" t="s">
        <v>36</v>
      </c>
      <c r="D35" s="2">
        <v>9</v>
      </c>
      <c r="E35" s="17">
        <v>3</v>
      </c>
      <c r="F35" s="17">
        <v>2</v>
      </c>
      <c r="G35" s="17">
        <v>4</v>
      </c>
      <c r="H35" s="17">
        <f>15+8</f>
        <v>23</v>
      </c>
      <c r="I35" s="17">
        <f>12+7</f>
        <v>19</v>
      </c>
      <c r="J35" s="2">
        <f>E35*2+F35</f>
        <v>8</v>
      </c>
      <c r="K35" s="4">
        <f>H35/D35</f>
        <v>2.5555555555555554</v>
      </c>
      <c r="L35" s="17">
        <v>1</v>
      </c>
      <c r="M35" s="4">
        <f>I35/D35</f>
        <v>2.1111111111111112</v>
      </c>
      <c r="N35" s="18">
        <f>10/1</f>
        <v>10</v>
      </c>
      <c r="O35" s="34">
        <v>5</v>
      </c>
    </row>
    <row r="36" spans="1:15">
      <c r="D36">
        <f>SUM(D23:D35)/2</f>
        <v>370</v>
      </c>
      <c r="H36">
        <f>SUM(H21:H35)</f>
        <v>2112</v>
      </c>
      <c r="I36">
        <f>SUM(I21:I35)</f>
        <v>2112</v>
      </c>
    </row>
    <row r="37" spans="1:15">
      <c r="G37">
        <f>2112/370</f>
        <v>5.7081081081081084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zoomScale="85" zoomScaleNormal="85" workbookViewId="0">
      <selection activeCell="A39" sqref="A39"/>
    </sheetView>
  </sheetViews>
  <sheetFormatPr defaultRowHeight="15"/>
  <cols>
    <col min="1" max="1" width="7.140625" style="13" customWidth="1"/>
    <col min="2" max="2" width="9.5703125" customWidth="1"/>
    <col min="3" max="3" width="10.28515625" customWidth="1"/>
    <col min="5" max="14" width="9.140625" style="13"/>
    <col min="15" max="15" width="9.140625" style="13" customWidth="1"/>
  </cols>
  <sheetData>
    <row r="2" spans="1:15" ht="23.25">
      <c r="D2" s="11" t="s">
        <v>40</v>
      </c>
    </row>
    <row r="4" spans="1:15" ht="15.75" thickBot="1">
      <c r="A4" s="14" t="s">
        <v>0</v>
      </c>
      <c r="B4" s="8" t="s">
        <v>1</v>
      </c>
      <c r="C4" s="8" t="s">
        <v>2</v>
      </c>
      <c r="D4" s="8" t="s">
        <v>3</v>
      </c>
      <c r="E4" s="14" t="s">
        <v>4</v>
      </c>
      <c r="F4" s="14" t="s">
        <v>5</v>
      </c>
      <c r="G4" s="14" t="s">
        <v>6</v>
      </c>
      <c r="H4" s="21" t="s">
        <v>7</v>
      </c>
      <c r="I4" s="21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21" t="s">
        <v>30</v>
      </c>
      <c r="O4" s="21" t="s">
        <v>13</v>
      </c>
    </row>
    <row r="5" spans="1:15">
      <c r="A5" s="15">
        <v>1</v>
      </c>
      <c r="B5" s="5" t="s">
        <v>31</v>
      </c>
      <c r="C5" s="5" t="s">
        <v>32</v>
      </c>
      <c r="D5" s="6">
        <v>14</v>
      </c>
      <c r="E5" s="19">
        <v>10</v>
      </c>
      <c r="F5" s="19">
        <v>3</v>
      </c>
      <c r="G5" s="19">
        <v>1</v>
      </c>
      <c r="H5" s="19">
        <f>23+11+12+7</f>
        <v>53</v>
      </c>
      <c r="I5" s="19">
        <f>9+6+3+5</f>
        <v>23</v>
      </c>
      <c r="J5" s="19">
        <f>2*E5+F5</f>
        <v>23</v>
      </c>
      <c r="K5" s="20">
        <f>H5/D5</f>
        <v>3.7857142857142856</v>
      </c>
      <c r="L5" s="19">
        <v>4</v>
      </c>
      <c r="M5" s="20">
        <f>I5/D5</f>
        <v>1.6428571428571428</v>
      </c>
      <c r="N5" s="19"/>
      <c r="O5" s="22">
        <v>21</v>
      </c>
    </row>
    <row r="6" spans="1:15">
      <c r="A6" s="16">
        <v>2</v>
      </c>
      <c r="B6" s="3" t="s">
        <v>16</v>
      </c>
      <c r="C6" s="3" t="s">
        <v>17</v>
      </c>
      <c r="D6" s="2">
        <v>14</v>
      </c>
      <c r="E6" s="17">
        <v>7</v>
      </c>
      <c r="F6" s="17">
        <v>5</v>
      </c>
      <c r="G6" s="17">
        <v>2</v>
      </c>
      <c r="H6" s="17">
        <f>16+6+10+5</f>
        <v>37</v>
      </c>
      <c r="I6" s="17">
        <f>8+4+7+7</f>
        <v>26</v>
      </c>
      <c r="J6" s="17">
        <f t="shared" ref="J6:J18" si="0">2*E6+F6</f>
        <v>19</v>
      </c>
      <c r="K6" s="18">
        <f t="shared" ref="K6:K18" si="1">H6/D6</f>
        <v>2.6428571428571428</v>
      </c>
      <c r="L6" s="17">
        <v>1</v>
      </c>
      <c r="M6" s="18">
        <f t="shared" ref="M6:M18" si="2">I6/D6</f>
        <v>1.8571428571428572</v>
      </c>
      <c r="N6" s="17"/>
      <c r="O6" s="23">
        <v>18</v>
      </c>
    </row>
    <row r="7" spans="1:15">
      <c r="A7" s="16">
        <v>3</v>
      </c>
      <c r="B7" s="3" t="s">
        <v>14</v>
      </c>
      <c r="C7" s="3" t="s">
        <v>15</v>
      </c>
      <c r="D7" s="2">
        <v>14</v>
      </c>
      <c r="E7" s="17">
        <v>9</v>
      </c>
      <c r="F7" s="17">
        <v>1</v>
      </c>
      <c r="G7" s="17">
        <v>4</v>
      </c>
      <c r="H7" s="17">
        <f>14+12+7+11</f>
        <v>44</v>
      </c>
      <c r="I7" s="17">
        <f>10+5+10+11</f>
        <v>36</v>
      </c>
      <c r="J7" s="17">
        <f t="shared" si="0"/>
        <v>19</v>
      </c>
      <c r="K7" s="18">
        <f t="shared" si="1"/>
        <v>3.1428571428571428</v>
      </c>
      <c r="L7" s="17">
        <v>1</v>
      </c>
      <c r="M7" s="18">
        <f t="shared" si="2"/>
        <v>2.5714285714285716</v>
      </c>
      <c r="N7" s="17"/>
      <c r="O7" s="23">
        <v>16</v>
      </c>
    </row>
    <row r="8" spans="1:15">
      <c r="A8" s="16">
        <v>4</v>
      </c>
      <c r="B8" s="12" t="s">
        <v>33</v>
      </c>
      <c r="C8" s="12" t="s">
        <v>34</v>
      </c>
      <c r="D8" s="2">
        <v>13</v>
      </c>
      <c r="E8" s="17">
        <v>7</v>
      </c>
      <c r="F8" s="17">
        <v>1</v>
      </c>
      <c r="G8" s="17">
        <v>5</v>
      </c>
      <c r="H8" s="17">
        <f>13+10+3+11</f>
        <v>37</v>
      </c>
      <c r="I8" s="17">
        <f>7+4+12+11</f>
        <v>34</v>
      </c>
      <c r="J8" s="17">
        <f t="shared" si="0"/>
        <v>15</v>
      </c>
      <c r="K8" s="18">
        <f t="shared" si="1"/>
        <v>2.8461538461538463</v>
      </c>
      <c r="L8" s="17">
        <v>2</v>
      </c>
      <c r="M8" s="18">
        <f t="shared" si="2"/>
        <v>2.6153846153846154</v>
      </c>
      <c r="N8" s="17"/>
      <c r="O8" s="23">
        <v>14</v>
      </c>
    </row>
    <row r="9" spans="1:15">
      <c r="A9" s="16">
        <v>5</v>
      </c>
      <c r="B9" s="3" t="s">
        <v>24</v>
      </c>
      <c r="C9" s="3" t="s">
        <v>25</v>
      </c>
      <c r="D9" s="2">
        <v>12</v>
      </c>
      <c r="E9" s="17">
        <v>6</v>
      </c>
      <c r="F9" s="17">
        <v>3</v>
      </c>
      <c r="G9" s="17">
        <v>3</v>
      </c>
      <c r="H9" s="17">
        <f>16+6+12</f>
        <v>34</v>
      </c>
      <c r="I9" s="17">
        <f>13+11+9</f>
        <v>33</v>
      </c>
      <c r="J9" s="17">
        <f t="shared" si="0"/>
        <v>15</v>
      </c>
      <c r="K9" s="18">
        <f t="shared" si="1"/>
        <v>2.8333333333333335</v>
      </c>
      <c r="L9" s="17">
        <v>1</v>
      </c>
      <c r="M9" s="18">
        <f t="shared" si="2"/>
        <v>2.75</v>
      </c>
      <c r="N9" s="17"/>
      <c r="O9" s="23">
        <v>12</v>
      </c>
    </row>
    <row r="10" spans="1:15">
      <c r="A10" s="16">
        <v>6</v>
      </c>
      <c r="B10" s="3" t="s">
        <v>18</v>
      </c>
      <c r="C10" s="3" t="s">
        <v>19</v>
      </c>
      <c r="D10" s="2">
        <v>11</v>
      </c>
      <c r="E10" s="17">
        <v>5</v>
      </c>
      <c r="F10" s="17">
        <v>1</v>
      </c>
      <c r="G10" s="17">
        <v>5</v>
      </c>
      <c r="H10" s="17">
        <f>16+5+11</f>
        <v>32</v>
      </c>
      <c r="I10" s="17">
        <f>10+12+8</f>
        <v>30</v>
      </c>
      <c r="J10" s="17">
        <f t="shared" si="0"/>
        <v>11</v>
      </c>
      <c r="K10" s="18">
        <f t="shared" si="1"/>
        <v>2.9090909090909092</v>
      </c>
      <c r="L10" s="17">
        <v>3</v>
      </c>
      <c r="M10" s="18">
        <f t="shared" si="2"/>
        <v>2.7272727272727271</v>
      </c>
      <c r="N10" s="17"/>
      <c r="O10" s="23">
        <v>10</v>
      </c>
    </row>
    <row r="11" spans="1:15">
      <c r="A11" s="16">
        <v>7</v>
      </c>
      <c r="B11" s="3" t="s">
        <v>22</v>
      </c>
      <c r="C11" s="3" t="s">
        <v>23</v>
      </c>
      <c r="D11" s="2">
        <v>11</v>
      </c>
      <c r="E11" s="17">
        <v>4</v>
      </c>
      <c r="F11" s="17">
        <v>1</v>
      </c>
      <c r="G11" s="17">
        <v>6</v>
      </c>
      <c r="H11" s="17">
        <f>12+4+8</f>
        <v>24</v>
      </c>
      <c r="I11" s="17">
        <f>9+6+8</f>
        <v>23</v>
      </c>
      <c r="J11" s="17">
        <f t="shared" si="0"/>
        <v>9</v>
      </c>
      <c r="K11" s="18">
        <f t="shared" si="1"/>
        <v>2.1818181818181817</v>
      </c>
      <c r="L11" s="17">
        <v>2</v>
      </c>
      <c r="M11" s="18">
        <f t="shared" si="2"/>
        <v>2.0909090909090908</v>
      </c>
      <c r="N11" s="17"/>
      <c r="O11" s="23">
        <v>8</v>
      </c>
    </row>
    <row r="12" spans="1:15">
      <c r="A12" s="16">
        <v>8</v>
      </c>
      <c r="B12" s="3" t="s">
        <v>26</v>
      </c>
      <c r="C12" s="3" t="s">
        <v>27</v>
      </c>
      <c r="D12" s="2">
        <v>11</v>
      </c>
      <c r="E12" s="17">
        <v>3</v>
      </c>
      <c r="F12" s="17">
        <v>2</v>
      </c>
      <c r="G12" s="17">
        <v>6</v>
      </c>
      <c r="H12" s="17">
        <f>15+4+12</f>
        <v>31</v>
      </c>
      <c r="I12" s="17">
        <f>15+18+10</f>
        <v>43</v>
      </c>
      <c r="J12" s="17">
        <f t="shared" si="0"/>
        <v>8</v>
      </c>
      <c r="K12" s="18">
        <f t="shared" si="1"/>
        <v>2.8181818181818183</v>
      </c>
      <c r="L12" s="17">
        <v>1</v>
      </c>
      <c r="M12" s="18">
        <f t="shared" si="2"/>
        <v>3.9090909090909092</v>
      </c>
      <c r="N12" s="17"/>
      <c r="O12" s="23">
        <v>7</v>
      </c>
    </row>
    <row r="13" spans="1:15">
      <c r="A13" s="16">
        <v>9</v>
      </c>
      <c r="B13" s="3" t="s">
        <v>14</v>
      </c>
      <c r="C13" s="3" t="s">
        <v>19</v>
      </c>
      <c r="D13" s="2">
        <v>9</v>
      </c>
      <c r="E13" s="17">
        <v>4</v>
      </c>
      <c r="F13" s="17">
        <v>1</v>
      </c>
      <c r="G13" s="17">
        <v>4</v>
      </c>
      <c r="H13" s="17">
        <f>17+7</f>
        <v>24</v>
      </c>
      <c r="I13" s="17">
        <f>15+8</f>
        <v>23</v>
      </c>
      <c r="J13" s="17">
        <f t="shared" si="0"/>
        <v>9</v>
      </c>
      <c r="K13" s="18">
        <f t="shared" si="1"/>
        <v>2.6666666666666665</v>
      </c>
      <c r="L13" s="17">
        <v>0</v>
      </c>
      <c r="M13" s="18">
        <f t="shared" si="2"/>
        <v>2.5555555555555554</v>
      </c>
      <c r="N13" s="17"/>
      <c r="O13" s="23">
        <v>6</v>
      </c>
    </row>
    <row r="14" spans="1:15">
      <c r="A14" s="16">
        <v>10</v>
      </c>
      <c r="B14" s="3" t="s">
        <v>35</v>
      </c>
      <c r="C14" s="3" t="s">
        <v>36</v>
      </c>
      <c r="D14" s="2">
        <v>9</v>
      </c>
      <c r="E14" s="17">
        <v>3</v>
      </c>
      <c r="F14" s="17">
        <v>2</v>
      </c>
      <c r="G14" s="17">
        <v>4</v>
      </c>
      <c r="H14" s="17">
        <f>15+8</f>
        <v>23</v>
      </c>
      <c r="I14" s="17">
        <f>12+7</f>
        <v>19</v>
      </c>
      <c r="J14" s="17">
        <f t="shared" si="0"/>
        <v>8</v>
      </c>
      <c r="K14" s="18">
        <f t="shared" si="1"/>
        <v>2.5555555555555554</v>
      </c>
      <c r="L14" s="17">
        <v>1</v>
      </c>
      <c r="M14" s="18">
        <f t="shared" si="2"/>
        <v>2.1111111111111112</v>
      </c>
      <c r="N14" s="17"/>
      <c r="O14" s="23">
        <v>5</v>
      </c>
    </row>
    <row r="15" spans="1:15">
      <c r="A15" s="16">
        <v>11</v>
      </c>
      <c r="B15" s="3" t="s">
        <v>28</v>
      </c>
      <c r="C15" s="3" t="s">
        <v>29</v>
      </c>
      <c r="D15" s="2">
        <v>9</v>
      </c>
      <c r="E15" s="17">
        <v>3</v>
      </c>
      <c r="F15" s="17">
        <v>0</v>
      </c>
      <c r="G15" s="17">
        <v>6</v>
      </c>
      <c r="H15" s="17">
        <f>8+8</f>
        <v>16</v>
      </c>
      <c r="I15" s="17">
        <f>17+3</f>
        <v>20</v>
      </c>
      <c r="J15" s="17">
        <f t="shared" si="0"/>
        <v>6</v>
      </c>
      <c r="K15" s="18">
        <f t="shared" si="1"/>
        <v>1.7777777777777777</v>
      </c>
      <c r="L15" s="17">
        <v>2</v>
      </c>
      <c r="M15" s="18">
        <f t="shared" si="2"/>
        <v>2.2222222222222223</v>
      </c>
      <c r="N15" s="17"/>
      <c r="O15" s="23">
        <v>4</v>
      </c>
    </row>
    <row r="16" spans="1:15">
      <c r="A16" s="16">
        <v>12</v>
      </c>
      <c r="B16" s="3" t="s">
        <v>20</v>
      </c>
      <c r="C16" s="3" t="s">
        <v>37</v>
      </c>
      <c r="D16" s="2">
        <v>9</v>
      </c>
      <c r="E16" s="17">
        <v>2</v>
      </c>
      <c r="F16" s="17">
        <v>0</v>
      </c>
      <c r="G16" s="17">
        <v>7</v>
      </c>
      <c r="H16" s="17">
        <f>7+3</f>
        <v>10</v>
      </c>
      <c r="I16" s="17">
        <f>18+8</f>
        <v>26</v>
      </c>
      <c r="J16" s="17">
        <f t="shared" si="0"/>
        <v>4</v>
      </c>
      <c r="K16" s="18">
        <f t="shared" si="1"/>
        <v>1.1111111111111112</v>
      </c>
      <c r="L16" s="17">
        <v>0</v>
      </c>
      <c r="M16" s="18">
        <f t="shared" si="2"/>
        <v>2.8888888888888888</v>
      </c>
      <c r="N16" s="17"/>
      <c r="O16" s="23">
        <v>3</v>
      </c>
    </row>
    <row r="17" spans="1:16">
      <c r="A17" s="16">
        <v>13</v>
      </c>
      <c r="B17" s="3" t="s">
        <v>22</v>
      </c>
      <c r="C17" s="3" t="s">
        <v>38</v>
      </c>
      <c r="D17" s="2">
        <v>8</v>
      </c>
      <c r="E17" s="17">
        <v>2</v>
      </c>
      <c r="F17" s="17">
        <v>2</v>
      </c>
      <c r="G17" s="17">
        <v>4</v>
      </c>
      <c r="H17" s="17">
        <f>3+6</f>
        <v>9</v>
      </c>
      <c r="I17" s="17">
        <f>15+3</f>
        <v>18</v>
      </c>
      <c r="J17" s="17">
        <f t="shared" si="0"/>
        <v>6</v>
      </c>
      <c r="K17" s="18">
        <f t="shared" si="1"/>
        <v>1.125</v>
      </c>
      <c r="L17" s="17">
        <v>0</v>
      </c>
      <c r="M17" s="18">
        <f t="shared" si="2"/>
        <v>2.25</v>
      </c>
      <c r="N17" s="17"/>
      <c r="O17" s="23">
        <v>2</v>
      </c>
    </row>
    <row r="18" spans="1:16">
      <c r="A18" s="16">
        <v>14</v>
      </c>
      <c r="B18" s="3" t="s">
        <v>39</v>
      </c>
      <c r="C18" s="3" t="s">
        <v>37</v>
      </c>
      <c r="D18" s="2">
        <v>8</v>
      </c>
      <c r="E18" s="17">
        <v>0</v>
      </c>
      <c r="F18" s="17">
        <v>0</v>
      </c>
      <c r="G18" s="17">
        <v>8</v>
      </c>
      <c r="H18" s="17">
        <f>4+3</f>
        <v>7</v>
      </c>
      <c r="I18" s="17">
        <f>21+6</f>
        <v>27</v>
      </c>
      <c r="J18" s="17">
        <f t="shared" si="0"/>
        <v>0</v>
      </c>
      <c r="K18" s="18">
        <f t="shared" si="1"/>
        <v>0.875</v>
      </c>
      <c r="L18" s="17">
        <v>0</v>
      </c>
      <c r="M18" s="18">
        <f t="shared" si="2"/>
        <v>3.375</v>
      </c>
      <c r="N18" s="17"/>
      <c r="O18" s="23">
        <v>1</v>
      </c>
    </row>
    <row r="19" spans="1:16">
      <c r="D19">
        <f>SUM(D5:D18)/2</f>
        <v>76</v>
      </c>
      <c r="H19" s="13">
        <f>SUM(H5:H18)</f>
        <v>381</v>
      </c>
      <c r="I19" s="13">
        <f>SUM(I5:I18)</f>
        <v>381</v>
      </c>
    </row>
    <row r="20" spans="1:16">
      <c r="G20" s="24">
        <f>H19/D19</f>
        <v>5.0131578947368425</v>
      </c>
    </row>
    <row r="22" spans="1:16" ht="23.25">
      <c r="D22" s="11" t="s">
        <v>41</v>
      </c>
    </row>
    <row r="24" spans="1:16" ht="15.75" thickBot="1">
      <c r="A24" s="14" t="s">
        <v>0</v>
      </c>
      <c r="B24" s="8" t="s">
        <v>1</v>
      </c>
      <c r="C24" s="8" t="s">
        <v>2</v>
      </c>
      <c r="D24" s="8" t="s">
        <v>3</v>
      </c>
      <c r="E24" s="14" t="s">
        <v>4</v>
      </c>
      <c r="F24" s="14" t="s">
        <v>5</v>
      </c>
      <c r="G24" s="14" t="s">
        <v>6</v>
      </c>
      <c r="H24" s="21" t="s">
        <v>7</v>
      </c>
      <c r="I24" s="21" t="s">
        <v>8</v>
      </c>
      <c r="J24" s="14" t="s">
        <v>9</v>
      </c>
      <c r="K24" s="14" t="s">
        <v>10</v>
      </c>
      <c r="L24" s="14" t="s">
        <v>11</v>
      </c>
      <c r="M24" s="14" t="s">
        <v>12</v>
      </c>
      <c r="N24" s="21" t="s">
        <v>30</v>
      </c>
      <c r="O24" s="21" t="s">
        <v>13</v>
      </c>
    </row>
    <row r="25" spans="1:16">
      <c r="A25" s="15">
        <v>1</v>
      </c>
      <c r="B25" s="5" t="s">
        <v>14</v>
      </c>
      <c r="C25" s="5" t="s">
        <v>15</v>
      </c>
      <c r="D25" s="6">
        <v>24</v>
      </c>
      <c r="E25" s="19">
        <v>17</v>
      </c>
      <c r="F25" s="19">
        <v>2</v>
      </c>
      <c r="G25" s="19">
        <v>5</v>
      </c>
      <c r="H25" s="19">
        <f>43+44</f>
        <v>87</v>
      </c>
      <c r="I25" s="19">
        <f>36+18</f>
        <v>54</v>
      </c>
      <c r="J25" s="19">
        <f>2*E25+F25</f>
        <v>36</v>
      </c>
      <c r="K25" s="20">
        <f>H25/D25</f>
        <v>3.625</v>
      </c>
      <c r="L25" s="19">
        <v>2</v>
      </c>
      <c r="M25" s="20">
        <f>I25/D25</f>
        <v>2.25</v>
      </c>
      <c r="N25" s="19">
        <f>4/2</f>
        <v>2</v>
      </c>
      <c r="O25" s="22">
        <f>16+14</f>
        <v>30</v>
      </c>
    </row>
    <row r="26" spans="1:16">
      <c r="A26" s="16">
        <v>2</v>
      </c>
      <c r="B26" s="3" t="s">
        <v>16</v>
      </c>
      <c r="C26" s="3" t="s">
        <v>17</v>
      </c>
      <c r="D26" s="2">
        <f>14+10</f>
        <v>24</v>
      </c>
      <c r="E26" s="17">
        <v>14</v>
      </c>
      <c r="F26" s="17">
        <v>6</v>
      </c>
      <c r="G26" s="17">
        <v>4</v>
      </c>
      <c r="H26" s="17">
        <f>37+33</f>
        <v>70</v>
      </c>
      <c r="I26" s="17">
        <f>21+26</f>
        <v>47</v>
      </c>
      <c r="J26" s="17">
        <f>2*E26+F26</f>
        <v>34</v>
      </c>
      <c r="K26" s="18">
        <f t="shared" ref="K26:K31" si="3">H26/D26</f>
        <v>2.9166666666666665</v>
      </c>
      <c r="L26" s="17">
        <v>2</v>
      </c>
      <c r="M26" s="18">
        <f t="shared" ref="M26:M31" si="4">I26/D26</f>
        <v>1.9583333333333333</v>
      </c>
      <c r="N26" s="17">
        <f>4/2</f>
        <v>2</v>
      </c>
      <c r="O26" s="23">
        <f>18+11</f>
        <v>29</v>
      </c>
    </row>
    <row r="27" spans="1:16">
      <c r="A27" s="16">
        <v>3</v>
      </c>
      <c r="B27" s="5" t="s">
        <v>31</v>
      </c>
      <c r="C27" s="5" t="s">
        <v>32</v>
      </c>
      <c r="D27" s="2">
        <v>14</v>
      </c>
      <c r="E27" s="17">
        <v>10</v>
      </c>
      <c r="F27" s="17">
        <v>3</v>
      </c>
      <c r="G27" s="17">
        <v>1</v>
      </c>
      <c r="H27" s="17">
        <f>23+11+12+7</f>
        <v>53</v>
      </c>
      <c r="I27" s="17">
        <f>9+6+3+5</f>
        <v>23</v>
      </c>
      <c r="J27" s="17">
        <f>2*E27+F27</f>
        <v>23</v>
      </c>
      <c r="K27" s="18">
        <f>H27/D27</f>
        <v>3.7857142857142856</v>
      </c>
      <c r="L27" s="17">
        <v>4</v>
      </c>
      <c r="M27" s="18">
        <f>I27/D27</f>
        <v>1.6428571428571428</v>
      </c>
      <c r="N27" s="17">
        <f>1/1</f>
        <v>1</v>
      </c>
      <c r="O27" s="23">
        <v>21</v>
      </c>
    </row>
    <row r="28" spans="1:16">
      <c r="A28" s="16">
        <v>4</v>
      </c>
      <c r="B28" s="3" t="s">
        <v>18</v>
      </c>
      <c r="C28" s="3" t="s">
        <v>19</v>
      </c>
      <c r="D28" s="2">
        <v>21</v>
      </c>
      <c r="E28" s="17">
        <v>11</v>
      </c>
      <c r="F28" s="17">
        <v>2</v>
      </c>
      <c r="G28" s="17">
        <v>8</v>
      </c>
      <c r="H28" s="17">
        <f>32+32</f>
        <v>64</v>
      </c>
      <c r="I28" s="17">
        <f>23+30</f>
        <v>53</v>
      </c>
      <c r="J28" s="17">
        <f>2*E28+F28</f>
        <v>24</v>
      </c>
      <c r="K28" s="18">
        <f>H28/D28</f>
        <v>3.0476190476190474</v>
      </c>
      <c r="L28" s="17">
        <v>5</v>
      </c>
      <c r="M28" s="18">
        <f>I28/D28</f>
        <v>2.5238095238095237</v>
      </c>
      <c r="N28" s="17">
        <f>9/2</f>
        <v>4.5</v>
      </c>
      <c r="O28" s="23">
        <v>19</v>
      </c>
    </row>
    <row r="29" spans="1:16">
      <c r="A29" s="16">
        <v>5</v>
      </c>
      <c r="B29" s="3" t="s">
        <v>24</v>
      </c>
      <c r="C29" s="3" t="s">
        <v>25</v>
      </c>
      <c r="D29" s="2">
        <f>11+12</f>
        <v>23</v>
      </c>
      <c r="E29" s="17">
        <v>11</v>
      </c>
      <c r="F29" s="17">
        <v>5</v>
      </c>
      <c r="G29" s="17">
        <v>7</v>
      </c>
      <c r="H29" s="17">
        <f>34+30</f>
        <v>64</v>
      </c>
      <c r="I29" s="17">
        <f>29+33</f>
        <v>62</v>
      </c>
      <c r="J29" s="17">
        <f t="shared" ref="J29:J31" si="5">2*E29+F29</f>
        <v>27</v>
      </c>
      <c r="K29" s="18">
        <f t="shared" si="3"/>
        <v>2.7826086956521738</v>
      </c>
      <c r="L29" s="17">
        <v>3</v>
      </c>
      <c r="M29" s="18">
        <f t="shared" si="4"/>
        <v>2.6956521739130435</v>
      </c>
      <c r="N29" s="17">
        <f>11/2</f>
        <v>5.5</v>
      </c>
      <c r="O29" s="23">
        <v>16</v>
      </c>
    </row>
    <row r="30" spans="1:16">
      <c r="A30" s="16">
        <v>6</v>
      </c>
      <c r="B30" s="12" t="s">
        <v>33</v>
      </c>
      <c r="C30" s="12" t="s">
        <v>34</v>
      </c>
      <c r="D30" s="2">
        <v>13</v>
      </c>
      <c r="E30" s="17">
        <v>7</v>
      </c>
      <c r="F30" s="17">
        <v>1</v>
      </c>
      <c r="G30" s="17">
        <v>5</v>
      </c>
      <c r="H30" s="17">
        <f>13+10+3+11</f>
        <v>37</v>
      </c>
      <c r="I30" s="17">
        <f>7+4+12+11</f>
        <v>34</v>
      </c>
      <c r="J30" s="17">
        <f>2*E30+F30</f>
        <v>15</v>
      </c>
      <c r="K30" s="18">
        <f>H30/D30</f>
        <v>2.8461538461538463</v>
      </c>
      <c r="L30" s="17">
        <v>2</v>
      </c>
      <c r="M30" s="18">
        <f>I30/D30</f>
        <v>2.6153846153846154</v>
      </c>
      <c r="N30" s="17">
        <f>4/1</f>
        <v>4</v>
      </c>
      <c r="O30" s="23">
        <v>14</v>
      </c>
    </row>
    <row r="31" spans="1:16">
      <c r="A31" s="16">
        <v>7</v>
      </c>
      <c r="B31" s="3" t="s">
        <v>22</v>
      </c>
      <c r="C31" s="3" t="s">
        <v>23</v>
      </c>
      <c r="D31" s="2">
        <v>22</v>
      </c>
      <c r="E31" s="17">
        <v>9</v>
      </c>
      <c r="F31" s="17">
        <v>3</v>
      </c>
      <c r="G31" s="17">
        <v>10</v>
      </c>
      <c r="H31" s="17">
        <f>24+31</f>
        <v>55</v>
      </c>
      <c r="I31" s="17">
        <f>24+23</f>
        <v>47</v>
      </c>
      <c r="J31" s="17">
        <f t="shared" si="5"/>
        <v>21</v>
      </c>
      <c r="K31" s="18">
        <f t="shared" si="3"/>
        <v>2.5</v>
      </c>
      <c r="L31" s="17">
        <v>4</v>
      </c>
      <c r="M31" s="18">
        <f t="shared" si="4"/>
        <v>2.1363636363636362</v>
      </c>
      <c r="N31" s="17">
        <f>12/2</f>
        <v>6</v>
      </c>
      <c r="O31" s="23">
        <v>13</v>
      </c>
    </row>
    <row r="32" spans="1:16">
      <c r="A32" s="16">
        <v>8</v>
      </c>
      <c r="B32" s="3" t="s">
        <v>14</v>
      </c>
      <c r="C32" s="3" t="s">
        <v>19</v>
      </c>
      <c r="D32" s="2">
        <v>18</v>
      </c>
      <c r="E32" s="17">
        <v>6</v>
      </c>
      <c r="F32" s="17">
        <v>2</v>
      </c>
      <c r="G32" s="17">
        <v>10</v>
      </c>
      <c r="H32" s="17">
        <f>24+18</f>
        <v>42</v>
      </c>
      <c r="I32" s="17">
        <f>31+23</f>
        <v>54</v>
      </c>
      <c r="J32" s="17">
        <f>2*E32+F32</f>
        <v>14</v>
      </c>
      <c r="K32" s="18">
        <f t="shared" ref="K32:K39" si="6">H32/D32</f>
        <v>2.3333333333333335</v>
      </c>
      <c r="L32" s="17">
        <v>1</v>
      </c>
      <c r="M32" s="18">
        <f>I32/D32</f>
        <v>3</v>
      </c>
      <c r="N32" s="17">
        <f>16/2</f>
        <v>8</v>
      </c>
      <c r="O32" s="23">
        <v>9</v>
      </c>
      <c r="P32" s="25">
        <f>42-54</f>
        <v>-12</v>
      </c>
    </row>
    <row r="33" spans="1:16">
      <c r="A33" s="16">
        <v>9</v>
      </c>
      <c r="B33" s="3" t="s">
        <v>26</v>
      </c>
      <c r="C33" s="3" t="s">
        <v>27</v>
      </c>
      <c r="D33" s="2">
        <v>20</v>
      </c>
      <c r="E33" s="17">
        <v>5</v>
      </c>
      <c r="F33" s="17">
        <v>3</v>
      </c>
      <c r="G33" s="17">
        <v>12</v>
      </c>
      <c r="H33" s="17">
        <f>18+31</f>
        <v>49</v>
      </c>
      <c r="I33" s="17">
        <f>43+33</f>
        <v>76</v>
      </c>
      <c r="J33" s="17">
        <f>2*E33+F33</f>
        <v>13</v>
      </c>
      <c r="K33" s="18">
        <f t="shared" si="6"/>
        <v>2.4500000000000002</v>
      </c>
      <c r="L33" s="17">
        <v>2</v>
      </c>
      <c r="M33" s="18">
        <f>I33/D33</f>
        <v>3.8</v>
      </c>
      <c r="N33" s="17">
        <f>16/2</f>
        <v>8</v>
      </c>
      <c r="O33" s="23">
        <v>9</v>
      </c>
      <c r="P33" s="25">
        <f>49-76</f>
        <v>-27</v>
      </c>
    </row>
    <row r="34" spans="1:16">
      <c r="A34" s="16">
        <v>10</v>
      </c>
      <c r="B34" s="3" t="s">
        <v>20</v>
      </c>
      <c r="C34" s="3" t="s">
        <v>21</v>
      </c>
      <c r="D34" s="2">
        <v>10</v>
      </c>
      <c r="E34" s="2">
        <v>4</v>
      </c>
      <c r="F34" s="2">
        <v>1</v>
      </c>
      <c r="G34" s="2">
        <v>5</v>
      </c>
      <c r="H34" s="2">
        <f>11+7+4</f>
        <v>22</v>
      </c>
      <c r="I34" s="2">
        <f>7+4+12</f>
        <v>23</v>
      </c>
      <c r="J34" s="2">
        <f t="shared" ref="J34" si="7">2*E34+F34</f>
        <v>9</v>
      </c>
      <c r="K34" s="18">
        <f t="shared" si="6"/>
        <v>2.2000000000000002</v>
      </c>
      <c r="L34" s="2">
        <v>0</v>
      </c>
      <c r="M34" s="4">
        <f t="shared" ref="M34" si="8">I34/D34</f>
        <v>2.2999999999999998</v>
      </c>
      <c r="N34" s="2">
        <f>4/1</f>
        <v>4</v>
      </c>
      <c r="O34" s="23">
        <v>7</v>
      </c>
      <c r="P34" s="25"/>
    </row>
    <row r="35" spans="1:16">
      <c r="A35" s="16">
        <v>11</v>
      </c>
      <c r="B35" s="3" t="s">
        <v>35</v>
      </c>
      <c r="C35" s="3" t="s">
        <v>36</v>
      </c>
      <c r="D35" s="2">
        <v>9</v>
      </c>
      <c r="E35" s="17">
        <v>3</v>
      </c>
      <c r="F35" s="17">
        <v>2</v>
      </c>
      <c r="G35" s="17">
        <v>4</v>
      </c>
      <c r="H35" s="17">
        <f>15+8</f>
        <v>23</v>
      </c>
      <c r="I35" s="17">
        <f>12+7</f>
        <v>19</v>
      </c>
      <c r="J35" s="17">
        <f>2*E35+F35</f>
        <v>8</v>
      </c>
      <c r="K35" s="18">
        <f t="shared" si="6"/>
        <v>2.5555555555555554</v>
      </c>
      <c r="L35" s="17">
        <v>1</v>
      </c>
      <c r="M35" s="18">
        <f>I35/D35</f>
        <v>2.1111111111111112</v>
      </c>
      <c r="N35" s="17">
        <f>10/1</f>
        <v>10</v>
      </c>
      <c r="O35" s="23">
        <v>5</v>
      </c>
      <c r="P35" s="25">
        <f>23-19</f>
        <v>4</v>
      </c>
    </row>
    <row r="36" spans="1:16">
      <c r="A36" s="16">
        <v>12</v>
      </c>
      <c r="B36" s="3" t="s">
        <v>28</v>
      </c>
      <c r="C36" s="3" t="s">
        <v>29</v>
      </c>
      <c r="D36" s="2">
        <v>17</v>
      </c>
      <c r="E36" s="17">
        <v>3</v>
      </c>
      <c r="F36" s="17">
        <v>0</v>
      </c>
      <c r="G36" s="17">
        <v>14</v>
      </c>
      <c r="H36" s="17">
        <f>16+2</f>
        <v>18</v>
      </c>
      <c r="I36" s="17">
        <f>27+20</f>
        <v>47</v>
      </c>
      <c r="J36" s="17">
        <f>2*E36+F36</f>
        <v>6</v>
      </c>
      <c r="K36" s="18">
        <f t="shared" si="6"/>
        <v>1.0588235294117647</v>
      </c>
      <c r="L36" s="17">
        <v>2</v>
      </c>
      <c r="M36" s="18">
        <f>I36/D36</f>
        <v>2.7647058823529411</v>
      </c>
      <c r="N36" s="17">
        <f>20/2</f>
        <v>10</v>
      </c>
      <c r="O36" s="23">
        <v>5</v>
      </c>
      <c r="P36" s="25">
        <f>18-47</f>
        <v>-29</v>
      </c>
    </row>
    <row r="37" spans="1:16">
      <c r="A37" s="16">
        <v>13</v>
      </c>
      <c r="B37" s="3" t="s">
        <v>20</v>
      </c>
      <c r="C37" s="3" t="s">
        <v>37</v>
      </c>
      <c r="D37" s="2">
        <v>9</v>
      </c>
      <c r="E37" s="17">
        <v>2</v>
      </c>
      <c r="F37" s="17">
        <v>0</v>
      </c>
      <c r="G37" s="17">
        <v>7</v>
      </c>
      <c r="H37" s="17">
        <f>7+3</f>
        <v>10</v>
      </c>
      <c r="I37" s="17">
        <f>18+8</f>
        <v>26</v>
      </c>
      <c r="J37" s="17">
        <f>2*E37+F37</f>
        <v>4</v>
      </c>
      <c r="K37" s="18">
        <f t="shared" si="6"/>
        <v>1.1111111111111112</v>
      </c>
      <c r="L37" s="17">
        <v>0</v>
      </c>
      <c r="M37" s="18">
        <f>I37/D37</f>
        <v>2.8888888888888888</v>
      </c>
      <c r="N37" s="17">
        <f>12/1</f>
        <v>12</v>
      </c>
      <c r="O37" s="23">
        <v>3</v>
      </c>
    </row>
    <row r="38" spans="1:16">
      <c r="A38" s="16">
        <v>14</v>
      </c>
      <c r="B38" s="3" t="s">
        <v>22</v>
      </c>
      <c r="C38" s="3" t="s">
        <v>38</v>
      </c>
      <c r="D38" s="2">
        <v>8</v>
      </c>
      <c r="E38" s="17">
        <v>2</v>
      </c>
      <c r="F38" s="17">
        <v>2</v>
      </c>
      <c r="G38" s="17">
        <v>4</v>
      </c>
      <c r="H38" s="17">
        <f>3+6</f>
        <v>9</v>
      </c>
      <c r="I38" s="17">
        <f>15+3</f>
        <v>18</v>
      </c>
      <c r="J38" s="17">
        <f>2*E38+F38</f>
        <v>6</v>
      </c>
      <c r="K38" s="18">
        <f t="shared" si="6"/>
        <v>1.125</v>
      </c>
      <c r="L38" s="17">
        <v>0</v>
      </c>
      <c r="M38" s="18">
        <f>I38/D38</f>
        <v>2.25</v>
      </c>
      <c r="N38" s="17">
        <f>13/1</f>
        <v>13</v>
      </c>
      <c r="O38" s="23">
        <v>2</v>
      </c>
    </row>
    <row r="39" spans="1:16">
      <c r="A39" s="16">
        <v>15</v>
      </c>
      <c r="B39" s="3" t="s">
        <v>39</v>
      </c>
      <c r="C39" s="3" t="s">
        <v>37</v>
      </c>
      <c r="D39" s="2">
        <v>8</v>
      </c>
      <c r="E39" s="17">
        <v>0</v>
      </c>
      <c r="F39" s="17">
        <v>0</v>
      </c>
      <c r="G39" s="17">
        <v>8</v>
      </c>
      <c r="H39" s="17">
        <f>4+3</f>
        <v>7</v>
      </c>
      <c r="I39" s="17">
        <f>21+6</f>
        <v>27</v>
      </c>
      <c r="J39" s="17">
        <f>2*E39+F39</f>
        <v>0</v>
      </c>
      <c r="K39" s="18">
        <f t="shared" si="6"/>
        <v>0.875</v>
      </c>
      <c r="L39" s="17">
        <v>0</v>
      </c>
      <c r="M39" s="18">
        <f>I39/D39</f>
        <v>3.375</v>
      </c>
      <c r="N39" s="17">
        <f>14/1</f>
        <v>14</v>
      </c>
      <c r="O39" s="23">
        <v>1</v>
      </c>
    </row>
    <row r="40" spans="1:16">
      <c r="D40">
        <f>SUM(D25:D39)/2</f>
        <v>120</v>
      </c>
      <c r="H40" s="13">
        <f>SUM(H25:H39)</f>
        <v>610</v>
      </c>
      <c r="I40" s="13">
        <f>SUM(I25:I39)</f>
        <v>610</v>
      </c>
    </row>
    <row r="41" spans="1:16">
      <c r="G41" s="24">
        <f>H40/D40</f>
        <v>5.083333333333333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6"/>
  <sheetViews>
    <sheetView topLeftCell="A4" workbookViewId="0">
      <selection activeCell="O5" sqref="O5:O13"/>
    </sheetView>
  </sheetViews>
  <sheetFormatPr defaultRowHeight="15"/>
  <sheetData>
    <row r="2" spans="1:15" ht="23.25">
      <c r="C2" s="11" t="s">
        <v>43</v>
      </c>
    </row>
    <row r="4" spans="1:15" ht="15.75" thickBot="1">
      <c r="A4" s="14" t="s">
        <v>0</v>
      </c>
      <c r="B4" s="8" t="s">
        <v>1</v>
      </c>
      <c r="C4" s="8" t="s">
        <v>2</v>
      </c>
      <c r="D4" s="8" t="s">
        <v>3</v>
      </c>
      <c r="E4" s="14" t="s">
        <v>4</v>
      </c>
      <c r="F4" s="14" t="s">
        <v>5</v>
      </c>
      <c r="G4" s="14" t="s">
        <v>6</v>
      </c>
      <c r="H4" s="21" t="s">
        <v>7</v>
      </c>
      <c r="I4" s="21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21" t="s">
        <v>30</v>
      </c>
      <c r="O4" s="21" t="s">
        <v>13</v>
      </c>
    </row>
    <row r="5" spans="1:15">
      <c r="A5" s="15">
        <v>1</v>
      </c>
      <c r="B5" t="s">
        <v>16</v>
      </c>
      <c r="C5" s="3" t="s">
        <v>17</v>
      </c>
      <c r="D5" s="6">
        <v>10</v>
      </c>
      <c r="E5" s="6">
        <v>7</v>
      </c>
      <c r="F5" s="6">
        <v>2</v>
      </c>
      <c r="G5" s="6">
        <v>1</v>
      </c>
      <c r="H5" s="6">
        <f>9+8+7+11</f>
        <v>35</v>
      </c>
      <c r="I5" s="6">
        <f>5+6+2+8</f>
        <v>21</v>
      </c>
      <c r="J5" s="6">
        <f>E5*2+F5</f>
        <v>16</v>
      </c>
      <c r="K5" s="7">
        <f>H5/D5</f>
        <v>3.5</v>
      </c>
      <c r="L5" s="6">
        <v>2</v>
      </c>
      <c r="M5" s="7">
        <f>I5/D5</f>
        <v>2.1</v>
      </c>
      <c r="N5" s="6"/>
      <c r="O5" s="9">
        <v>14</v>
      </c>
    </row>
    <row r="6" spans="1:15">
      <c r="A6" s="16">
        <v>2</v>
      </c>
      <c r="B6" s="3" t="s">
        <v>20</v>
      </c>
      <c r="C6" s="3" t="s">
        <v>21</v>
      </c>
      <c r="D6" s="2">
        <v>10</v>
      </c>
      <c r="E6" s="2">
        <v>6</v>
      </c>
      <c r="F6" s="2">
        <v>1</v>
      </c>
      <c r="G6" s="2">
        <v>3</v>
      </c>
      <c r="H6" s="2">
        <f>13+8+8+8</f>
        <v>37</v>
      </c>
      <c r="I6" s="2">
        <f>5+6+3+11</f>
        <v>25</v>
      </c>
      <c r="J6" s="2">
        <f t="shared" ref="J6:J13" si="0">E6*2+F6</f>
        <v>13</v>
      </c>
      <c r="K6" s="4">
        <f t="shared" ref="K6:K13" si="1">H6/D6</f>
        <v>3.7</v>
      </c>
      <c r="L6" s="2">
        <v>1</v>
      </c>
      <c r="M6" s="4">
        <f t="shared" ref="M6:M13" si="2">I6/D6</f>
        <v>2.5</v>
      </c>
      <c r="N6" s="2"/>
      <c r="O6" s="10">
        <v>11</v>
      </c>
    </row>
    <row r="7" spans="1:15">
      <c r="A7" s="16">
        <v>3</v>
      </c>
      <c r="B7" s="3" t="s">
        <v>18</v>
      </c>
      <c r="C7" s="3" t="s">
        <v>19</v>
      </c>
      <c r="D7" s="2">
        <v>11</v>
      </c>
      <c r="E7" s="2">
        <v>7</v>
      </c>
      <c r="F7" s="2">
        <v>2</v>
      </c>
      <c r="G7" s="2">
        <v>2</v>
      </c>
      <c r="H7" s="2">
        <f>17+10+3+12</f>
        <v>42</v>
      </c>
      <c r="I7" s="2">
        <f>5+8+8+2</f>
        <v>23</v>
      </c>
      <c r="J7" s="2">
        <f t="shared" si="0"/>
        <v>16</v>
      </c>
      <c r="K7" s="4">
        <f t="shared" si="1"/>
        <v>3.8181818181818183</v>
      </c>
      <c r="L7" s="2">
        <v>2</v>
      </c>
      <c r="M7" s="4">
        <f t="shared" si="2"/>
        <v>2.0909090909090908</v>
      </c>
      <c r="N7" s="2"/>
      <c r="O7" s="10">
        <v>9</v>
      </c>
    </row>
    <row r="8" spans="1:15">
      <c r="A8" s="16">
        <v>4</v>
      </c>
      <c r="B8" s="3" t="s">
        <v>26</v>
      </c>
      <c r="C8" s="3" t="s">
        <v>27</v>
      </c>
      <c r="D8" s="2">
        <v>9</v>
      </c>
      <c r="E8" s="2">
        <v>2</v>
      </c>
      <c r="F8" s="2">
        <v>2</v>
      </c>
      <c r="G8" s="2">
        <v>5</v>
      </c>
      <c r="H8" s="2">
        <f>6+6+2+2</f>
        <v>16</v>
      </c>
      <c r="I8" s="2">
        <f>12+4+7+12</f>
        <v>35</v>
      </c>
      <c r="J8" s="2">
        <f t="shared" si="0"/>
        <v>6</v>
      </c>
      <c r="K8" s="4">
        <f t="shared" si="1"/>
        <v>1.7777777777777777</v>
      </c>
      <c r="L8" s="2">
        <v>0</v>
      </c>
      <c r="M8" s="4">
        <f t="shared" si="2"/>
        <v>3.8888888888888888</v>
      </c>
      <c r="N8" s="2"/>
      <c r="O8" s="10">
        <v>7</v>
      </c>
    </row>
    <row r="9" spans="1:15">
      <c r="A9" s="16">
        <v>5</v>
      </c>
      <c r="B9" s="3" t="s">
        <v>22</v>
      </c>
      <c r="C9" s="3" t="s">
        <v>23</v>
      </c>
      <c r="D9" s="2">
        <v>10</v>
      </c>
      <c r="E9" s="2">
        <v>5</v>
      </c>
      <c r="F9" s="2">
        <v>2</v>
      </c>
      <c r="G9" s="2">
        <v>3</v>
      </c>
      <c r="H9" s="2">
        <f>9+6+14</f>
        <v>29</v>
      </c>
      <c r="I9" s="2">
        <f>2+8+8</f>
        <v>18</v>
      </c>
      <c r="J9" s="2">
        <f t="shared" si="0"/>
        <v>12</v>
      </c>
      <c r="K9" s="4">
        <f t="shared" si="1"/>
        <v>2.9</v>
      </c>
      <c r="L9" s="2">
        <v>5</v>
      </c>
      <c r="M9" s="4">
        <f t="shared" si="2"/>
        <v>1.8</v>
      </c>
      <c r="N9" s="2"/>
      <c r="O9" s="10">
        <v>5</v>
      </c>
    </row>
    <row r="10" spans="1:15">
      <c r="A10" s="16">
        <v>6</v>
      </c>
      <c r="B10" s="5" t="s">
        <v>14</v>
      </c>
      <c r="C10" s="5" t="s">
        <v>15</v>
      </c>
      <c r="D10" s="2">
        <v>10</v>
      </c>
      <c r="E10" s="2">
        <v>3</v>
      </c>
      <c r="F10" s="2">
        <v>2</v>
      </c>
      <c r="G10" s="2">
        <v>5</v>
      </c>
      <c r="H10" s="2">
        <f>4+14+8</f>
        <v>26</v>
      </c>
      <c r="I10" s="2">
        <f>10+7+10</f>
        <v>27</v>
      </c>
      <c r="J10" s="2">
        <f t="shared" si="0"/>
        <v>8</v>
      </c>
      <c r="K10" s="4">
        <f t="shared" si="1"/>
        <v>2.6</v>
      </c>
      <c r="L10" s="2">
        <v>0</v>
      </c>
      <c r="M10" s="4">
        <f t="shared" si="2"/>
        <v>2.7</v>
      </c>
      <c r="N10" s="2"/>
      <c r="O10" s="10">
        <v>4</v>
      </c>
    </row>
    <row r="11" spans="1:15">
      <c r="A11" s="16">
        <v>7</v>
      </c>
      <c r="B11" s="3" t="s">
        <v>14</v>
      </c>
      <c r="C11" s="3" t="s">
        <v>19</v>
      </c>
      <c r="D11" s="2">
        <v>10</v>
      </c>
      <c r="E11" s="2">
        <v>2</v>
      </c>
      <c r="F11" s="2">
        <v>3</v>
      </c>
      <c r="G11" s="2">
        <v>5</v>
      </c>
      <c r="H11" s="2">
        <f>5+6+10</f>
        <v>21</v>
      </c>
      <c r="I11" s="2">
        <f>8+8+9</f>
        <v>25</v>
      </c>
      <c r="J11" s="2">
        <f t="shared" si="0"/>
        <v>7</v>
      </c>
      <c r="K11" s="4">
        <f t="shared" si="1"/>
        <v>2.1</v>
      </c>
      <c r="L11" s="2">
        <v>1</v>
      </c>
      <c r="M11" s="4">
        <f t="shared" si="2"/>
        <v>2.5</v>
      </c>
      <c r="N11" s="2"/>
      <c r="O11" s="10">
        <v>3</v>
      </c>
    </row>
    <row r="12" spans="1:15">
      <c r="A12" s="16">
        <v>8</v>
      </c>
      <c r="B12" s="3" t="s">
        <v>39</v>
      </c>
      <c r="C12" s="3" t="s">
        <v>37</v>
      </c>
      <c r="D12" s="2">
        <v>8</v>
      </c>
      <c r="E12" s="2">
        <v>1</v>
      </c>
      <c r="F12" s="2">
        <v>1</v>
      </c>
      <c r="G12" s="2">
        <v>6</v>
      </c>
      <c r="H12" s="2">
        <f>7</f>
        <v>7</v>
      </c>
      <c r="I12" s="2">
        <f>12+11</f>
        <v>23</v>
      </c>
      <c r="J12" s="2">
        <f t="shared" si="0"/>
        <v>3</v>
      </c>
      <c r="K12" s="4">
        <f t="shared" si="1"/>
        <v>0.875</v>
      </c>
      <c r="L12" s="2">
        <v>0</v>
      </c>
      <c r="M12" s="4">
        <f t="shared" si="2"/>
        <v>2.875</v>
      </c>
      <c r="N12" s="2"/>
      <c r="O12" s="10">
        <v>2</v>
      </c>
    </row>
    <row r="13" spans="1:15">
      <c r="A13" s="16">
        <v>9</v>
      </c>
      <c r="B13" s="3" t="s">
        <v>20</v>
      </c>
      <c r="C13" s="3" t="s">
        <v>37</v>
      </c>
      <c r="D13" s="2">
        <v>10</v>
      </c>
      <c r="E13" s="2">
        <v>2</v>
      </c>
      <c r="F13" s="2">
        <v>2</v>
      </c>
      <c r="G13" s="2">
        <v>6</v>
      </c>
      <c r="H13" s="2">
        <f>8+5+4</f>
        <v>17</v>
      </c>
      <c r="I13" s="2">
        <f>9+18+6</f>
        <v>33</v>
      </c>
      <c r="J13" s="2">
        <f t="shared" si="0"/>
        <v>6</v>
      </c>
      <c r="K13" s="4">
        <f t="shared" si="1"/>
        <v>1.7</v>
      </c>
      <c r="L13" s="2">
        <v>1</v>
      </c>
      <c r="M13" s="4">
        <f t="shared" si="2"/>
        <v>3.3</v>
      </c>
      <c r="N13" s="2"/>
      <c r="O13" s="10">
        <v>1</v>
      </c>
    </row>
    <row r="14" spans="1:15">
      <c r="D14">
        <f>SUM(D5:D13)/2</f>
        <v>44</v>
      </c>
      <c r="H14">
        <f>SUM(H5:H13)</f>
        <v>230</v>
      </c>
      <c r="I14">
        <f>SUM(I5:I13)</f>
        <v>230</v>
      </c>
    </row>
    <row r="15" spans="1:15">
      <c r="G15">
        <f>H14/D14</f>
        <v>5.2272727272727275</v>
      </c>
    </row>
    <row r="17" spans="1:16" ht="23.25">
      <c r="C17" s="11" t="s">
        <v>44</v>
      </c>
    </row>
    <row r="19" spans="1:16" ht="15.75" thickBot="1">
      <c r="A19" s="14" t="s">
        <v>0</v>
      </c>
      <c r="B19" s="8" t="s">
        <v>1</v>
      </c>
      <c r="C19" s="8" t="s">
        <v>2</v>
      </c>
      <c r="D19" s="8" t="s">
        <v>3</v>
      </c>
      <c r="E19" s="14" t="s">
        <v>4</v>
      </c>
      <c r="F19" s="14" t="s">
        <v>5</v>
      </c>
      <c r="G19" s="14" t="s">
        <v>6</v>
      </c>
      <c r="H19" s="21" t="s">
        <v>7</v>
      </c>
      <c r="I19" s="21" t="s">
        <v>8</v>
      </c>
      <c r="J19" s="14" t="s">
        <v>9</v>
      </c>
      <c r="K19" s="14" t="s">
        <v>10</v>
      </c>
      <c r="L19" s="14" t="s">
        <v>11</v>
      </c>
      <c r="M19" s="14" t="s">
        <v>12</v>
      </c>
      <c r="N19" s="21" t="s">
        <v>30</v>
      </c>
      <c r="O19" s="21" t="s">
        <v>13</v>
      </c>
    </row>
    <row r="20" spans="1:16">
      <c r="A20" s="15">
        <v>1</v>
      </c>
      <c r="B20" s="3" t="s">
        <v>16</v>
      </c>
      <c r="C20" s="3" t="s">
        <v>17</v>
      </c>
      <c r="D20" s="2">
        <v>34</v>
      </c>
      <c r="E20" s="2">
        <v>21</v>
      </c>
      <c r="F20" s="2">
        <v>8</v>
      </c>
      <c r="G20" s="2">
        <v>5</v>
      </c>
      <c r="H20" s="2">
        <f>70+35</f>
        <v>105</v>
      </c>
      <c r="I20" s="2">
        <f>21+47</f>
        <v>68</v>
      </c>
      <c r="J20" s="2">
        <f>E20*2+F20</f>
        <v>50</v>
      </c>
      <c r="K20" s="4">
        <f t="shared" ref="K20:K29" si="3">H20/D20</f>
        <v>3.0882352941176472</v>
      </c>
      <c r="L20" s="2">
        <v>4</v>
      </c>
      <c r="M20" s="4">
        <f t="shared" ref="M20:M31" si="4">I20/D20</f>
        <v>2</v>
      </c>
      <c r="N20" s="27">
        <f>5/3</f>
        <v>1.6666666666666667</v>
      </c>
      <c r="O20" s="10">
        <f>14+29</f>
        <v>43</v>
      </c>
    </row>
    <row r="21" spans="1:16">
      <c r="A21" s="16">
        <v>2</v>
      </c>
      <c r="B21" s="5" t="s">
        <v>14</v>
      </c>
      <c r="C21" s="5" t="s">
        <v>15</v>
      </c>
      <c r="D21" s="6">
        <f>10+24</f>
        <v>34</v>
      </c>
      <c r="E21" s="6">
        <v>20</v>
      </c>
      <c r="F21" s="6">
        <v>4</v>
      </c>
      <c r="G21" s="6">
        <v>10</v>
      </c>
      <c r="H21" s="6">
        <f>26+87</f>
        <v>113</v>
      </c>
      <c r="I21" s="6">
        <f>54+27</f>
        <v>81</v>
      </c>
      <c r="J21" s="6">
        <f>E21*2+F21</f>
        <v>44</v>
      </c>
      <c r="K21" s="7">
        <f t="shared" si="3"/>
        <v>3.3235294117647061</v>
      </c>
      <c r="L21" s="6">
        <v>2</v>
      </c>
      <c r="M21" s="7">
        <f t="shared" si="4"/>
        <v>2.3823529411764706</v>
      </c>
      <c r="N21" s="26">
        <f>10/3</f>
        <v>3.3333333333333335</v>
      </c>
      <c r="O21" s="9">
        <v>34</v>
      </c>
    </row>
    <row r="22" spans="1:16">
      <c r="A22" s="16">
        <v>3</v>
      </c>
      <c r="B22" s="3" t="s">
        <v>18</v>
      </c>
      <c r="C22" s="3" t="s">
        <v>19</v>
      </c>
      <c r="D22" s="2">
        <f>21+11</f>
        <v>32</v>
      </c>
      <c r="E22" s="2">
        <v>18</v>
      </c>
      <c r="F22" s="2">
        <v>4</v>
      </c>
      <c r="G22" s="2">
        <v>10</v>
      </c>
      <c r="H22" s="2">
        <f>64+42</f>
        <v>106</v>
      </c>
      <c r="I22" s="2">
        <f>23+53</f>
        <v>76</v>
      </c>
      <c r="J22" s="2">
        <f>E22*2+F22</f>
        <v>40</v>
      </c>
      <c r="K22" s="4">
        <f t="shared" si="3"/>
        <v>3.3125</v>
      </c>
      <c r="L22" s="2">
        <v>7</v>
      </c>
      <c r="M22" s="4">
        <f t="shared" si="4"/>
        <v>2.375</v>
      </c>
      <c r="N22" s="27">
        <f>12/3</f>
        <v>4</v>
      </c>
      <c r="O22" s="10">
        <f>9+19</f>
        <v>28</v>
      </c>
    </row>
    <row r="23" spans="1:16">
      <c r="A23" s="16">
        <v>4</v>
      </c>
      <c r="B23" s="5" t="s">
        <v>31</v>
      </c>
      <c r="C23" s="5" t="s">
        <v>32</v>
      </c>
      <c r="D23" s="2">
        <v>14</v>
      </c>
      <c r="E23" s="17">
        <v>10</v>
      </c>
      <c r="F23" s="17">
        <v>3</v>
      </c>
      <c r="G23" s="17">
        <v>1</v>
      </c>
      <c r="H23" s="17">
        <f>23+11+12+7</f>
        <v>53</v>
      </c>
      <c r="I23" s="17">
        <f>9+6+3+5</f>
        <v>23</v>
      </c>
      <c r="J23" s="17">
        <f>2*E23+F23</f>
        <v>23</v>
      </c>
      <c r="K23" s="18">
        <f t="shared" si="3"/>
        <v>3.7857142857142856</v>
      </c>
      <c r="L23" s="17">
        <v>4</v>
      </c>
      <c r="M23" s="18">
        <f t="shared" si="4"/>
        <v>1.6428571428571428</v>
      </c>
      <c r="N23" s="28">
        <f>1/1</f>
        <v>1</v>
      </c>
      <c r="O23" s="23">
        <v>21</v>
      </c>
    </row>
    <row r="24" spans="1:16">
      <c r="A24" s="16">
        <v>5</v>
      </c>
      <c r="B24" s="3" t="s">
        <v>20</v>
      </c>
      <c r="C24" s="3" t="s">
        <v>21</v>
      </c>
      <c r="D24" s="2">
        <v>20</v>
      </c>
      <c r="E24" s="2">
        <v>10</v>
      </c>
      <c r="F24" s="2">
        <v>2</v>
      </c>
      <c r="G24" s="2">
        <v>8</v>
      </c>
      <c r="H24" s="2">
        <f>37+22</f>
        <v>59</v>
      </c>
      <c r="I24" s="2">
        <f>23+25</f>
        <v>48</v>
      </c>
      <c r="J24" s="2">
        <f>E24*2+F24</f>
        <v>22</v>
      </c>
      <c r="K24" s="4">
        <f t="shared" si="3"/>
        <v>2.95</v>
      </c>
      <c r="L24" s="2">
        <v>1</v>
      </c>
      <c r="M24" s="4">
        <f t="shared" si="4"/>
        <v>2.4</v>
      </c>
      <c r="N24" s="27">
        <f>6/2</f>
        <v>3</v>
      </c>
      <c r="O24" s="10">
        <v>18</v>
      </c>
    </row>
    <row r="25" spans="1:16">
      <c r="A25" s="16">
        <v>6</v>
      </c>
      <c r="B25" s="3" t="s">
        <v>22</v>
      </c>
      <c r="C25" s="3" t="s">
        <v>23</v>
      </c>
      <c r="D25" s="2">
        <v>32</v>
      </c>
      <c r="E25" s="2">
        <v>14</v>
      </c>
      <c r="F25" s="2">
        <v>5</v>
      </c>
      <c r="G25" s="2">
        <v>13</v>
      </c>
      <c r="H25" s="2">
        <f>55+29</f>
        <v>84</v>
      </c>
      <c r="I25" s="2">
        <f>18+47</f>
        <v>65</v>
      </c>
      <c r="J25" s="2">
        <f>E25*2+F25</f>
        <v>33</v>
      </c>
      <c r="K25" s="4">
        <f t="shared" si="3"/>
        <v>2.625</v>
      </c>
      <c r="L25" s="2">
        <v>9</v>
      </c>
      <c r="M25" s="4">
        <f t="shared" si="4"/>
        <v>2.03125</v>
      </c>
      <c r="N25" s="27">
        <f>17/3</f>
        <v>5.666666666666667</v>
      </c>
      <c r="O25" s="10">
        <v>18</v>
      </c>
    </row>
    <row r="26" spans="1:16">
      <c r="A26" s="16">
        <v>7</v>
      </c>
      <c r="B26" s="3" t="s">
        <v>24</v>
      </c>
      <c r="C26" s="3" t="s">
        <v>25</v>
      </c>
      <c r="D26" s="2">
        <f>11+12</f>
        <v>23</v>
      </c>
      <c r="E26" s="17">
        <v>11</v>
      </c>
      <c r="F26" s="17">
        <v>5</v>
      </c>
      <c r="G26" s="17">
        <v>7</v>
      </c>
      <c r="H26" s="17">
        <f>34+30</f>
        <v>64</v>
      </c>
      <c r="I26" s="17">
        <f>29+33</f>
        <v>62</v>
      </c>
      <c r="J26" s="17">
        <f>2*E26+F26</f>
        <v>27</v>
      </c>
      <c r="K26" s="18">
        <f t="shared" si="3"/>
        <v>2.7826086956521738</v>
      </c>
      <c r="L26" s="17">
        <v>3</v>
      </c>
      <c r="M26" s="18">
        <f t="shared" si="4"/>
        <v>2.6956521739130435</v>
      </c>
      <c r="N26" s="28">
        <f>11/2</f>
        <v>5.5</v>
      </c>
      <c r="O26" s="23">
        <v>16</v>
      </c>
    </row>
    <row r="27" spans="1:16">
      <c r="A27" s="16">
        <v>8</v>
      </c>
      <c r="B27" s="3" t="s">
        <v>26</v>
      </c>
      <c r="C27" s="3" t="s">
        <v>27</v>
      </c>
      <c r="D27" s="2">
        <v>29</v>
      </c>
      <c r="E27" s="2">
        <v>7</v>
      </c>
      <c r="F27" s="2">
        <v>5</v>
      </c>
      <c r="G27" s="2">
        <v>17</v>
      </c>
      <c r="H27" s="2">
        <f>49+16</f>
        <v>65</v>
      </c>
      <c r="I27" s="2">
        <f>76+35</f>
        <v>111</v>
      </c>
      <c r="J27" s="2">
        <f>E27*2+F27</f>
        <v>19</v>
      </c>
      <c r="K27" s="4">
        <f t="shared" si="3"/>
        <v>2.2413793103448274</v>
      </c>
      <c r="L27" s="2">
        <v>2</v>
      </c>
      <c r="M27" s="4">
        <f t="shared" si="4"/>
        <v>3.8275862068965516</v>
      </c>
      <c r="N27" s="27">
        <f>20/3</f>
        <v>6.666666666666667</v>
      </c>
      <c r="O27" s="10">
        <v>16</v>
      </c>
    </row>
    <row r="28" spans="1:16">
      <c r="A28" s="16">
        <v>9</v>
      </c>
      <c r="B28" s="12" t="s">
        <v>33</v>
      </c>
      <c r="C28" s="12" t="s">
        <v>34</v>
      </c>
      <c r="D28" s="2">
        <v>13</v>
      </c>
      <c r="E28" s="17">
        <v>7</v>
      </c>
      <c r="F28" s="17">
        <v>1</v>
      </c>
      <c r="G28" s="17">
        <v>5</v>
      </c>
      <c r="H28" s="17">
        <f>13+10+3+11</f>
        <v>37</v>
      </c>
      <c r="I28" s="17">
        <f>7+4+12+11</f>
        <v>34</v>
      </c>
      <c r="J28" s="17">
        <f>2*E28+F28</f>
        <v>15</v>
      </c>
      <c r="K28" s="18">
        <f t="shared" si="3"/>
        <v>2.8461538461538463</v>
      </c>
      <c r="L28" s="17">
        <v>2</v>
      </c>
      <c r="M28" s="18">
        <f t="shared" si="4"/>
        <v>2.6153846153846154</v>
      </c>
      <c r="N28" s="28">
        <f>4/1</f>
        <v>4</v>
      </c>
      <c r="O28" s="23">
        <v>14</v>
      </c>
    </row>
    <row r="29" spans="1:16">
      <c r="A29" s="16">
        <v>10</v>
      </c>
      <c r="B29" s="3" t="s">
        <v>14</v>
      </c>
      <c r="C29" s="3" t="s">
        <v>19</v>
      </c>
      <c r="D29" s="2">
        <v>28</v>
      </c>
      <c r="E29" s="2">
        <v>8</v>
      </c>
      <c r="F29" s="2">
        <v>5</v>
      </c>
      <c r="G29" s="2">
        <v>15</v>
      </c>
      <c r="H29" s="2">
        <f>21+42</f>
        <v>63</v>
      </c>
      <c r="I29" s="2">
        <f>54+25</f>
        <v>79</v>
      </c>
      <c r="J29" s="2">
        <f>E29*2+F29</f>
        <v>21</v>
      </c>
      <c r="K29" s="4">
        <f t="shared" si="3"/>
        <v>2.25</v>
      </c>
      <c r="L29" s="2">
        <v>2</v>
      </c>
      <c r="M29" s="4">
        <f t="shared" si="4"/>
        <v>2.8214285714285716</v>
      </c>
      <c r="N29" s="27">
        <f>22/3</f>
        <v>7.333333333333333</v>
      </c>
      <c r="O29" s="10">
        <v>12</v>
      </c>
    </row>
    <row r="30" spans="1:16">
      <c r="A30" s="16">
        <v>11</v>
      </c>
      <c r="B30" s="3" t="s">
        <v>35</v>
      </c>
      <c r="C30" s="3" t="s">
        <v>36</v>
      </c>
      <c r="D30" s="2">
        <v>9</v>
      </c>
      <c r="E30" s="17">
        <v>3</v>
      </c>
      <c r="F30" s="17">
        <v>2</v>
      </c>
      <c r="G30" s="17">
        <v>4</v>
      </c>
      <c r="H30" s="17">
        <f>15+8</f>
        <v>23</v>
      </c>
      <c r="I30" s="17">
        <f>12+7</f>
        <v>19</v>
      </c>
      <c r="J30" s="17">
        <f>2*E30+F30</f>
        <v>8</v>
      </c>
      <c r="K30" s="18">
        <f t="shared" ref="K30:K32" si="5">H30/D30</f>
        <v>2.5555555555555554</v>
      </c>
      <c r="L30" s="17">
        <v>1</v>
      </c>
      <c r="M30" s="18">
        <f t="shared" si="4"/>
        <v>2.1111111111111112</v>
      </c>
      <c r="N30" s="28">
        <f>10/1</f>
        <v>10</v>
      </c>
      <c r="O30" s="23">
        <v>5</v>
      </c>
      <c r="P30">
        <f>H30-I30</f>
        <v>4</v>
      </c>
    </row>
    <row r="31" spans="1:16">
      <c r="A31" s="16">
        <v>12</v>
      </c>
      <c r="B31" s="3" t="s">
        <v>28</v>
      </c>
      <c r="C31" s="3" t="s">
        <v>29</v>
      </c>
      <c r="D31" s="2">
        <v>17</v>
      </c>
      <c r="E31" s="17">
        <v>3</v>
      </c>
      <c r="F31" s="17">
        <v>0</v>
      </c>
      <c r="G31" s="17">
        <v>14</v>
      </c>
      <c r="H31" s="17">
        <f>16+2</f>
        <v>18</v>
      </c>
      <c r="I31" s="17">
        <f>27+20</f>
        <v>47</v>
      </c>
      <c r="J31" s="17">
        <f>2*E31+F31</f>
        <v>6</v>
      </c>
      <c r="K31" s="18">
        <f t="shared" si="5"/>
        <v>1.0588235294117647</v>
      </c>
      <c r="L31" s="17">
        <v>2</v>
      </c>
      <c r="M31" s="18">
        <f t="shared" si="4"/>
        <v>2.7647058823529411</v>
      </c>
      <c r="N31" s="28">
        <f>20/2</f>
        <v>10</v>
      </c>
      <c r="O31" s="23">
        <v>5</v>
      </c>
      <c r="P31">
        <f>H31-I31</f>
        <v>-29</v>
      </c>
    </row>
    <row r="32" spans="1:16">
      <c r="A32" s="16">
        <v>13</v>
      </c>
      <c r="B32" s="3" t="s">
        <v>20</v>
      </c>
      <c r="C32" s="3" t="s">
        <v>37</v>
      </c>
      <c r="D32" s="2">
        <v>19</v>
      </c>
      <c r="E32" s="2">
        <v>4</v>
      </c>
      <c r="F32" s="2">
        <v>2</v>
      </c>
      <c r="G32" s="2">
        <f>6+7</f>
        <v>13</v>
      </c>
      <c r="H32" s="2">
        <v>27</v>
      </c>
      <c r="I32" s="2">
        <f>26+33</f>
        <v>59</v>
      </c>
      <c r="J32" s="2">
        <f t="shared" ref="J32" si="6">E32*2+F32</f>
        <v>10</v>
      </c>
      <c r="K32" s="4">
        <f t="shared" si="5"/>
        <v>1.4210526315789473</v>
      </c>
      <c r="L32" s="2">
        <v>1</v>
      </c>
      <c r="M32" s="4">
        <f t="shared" ref="M32" si="7">I32/D32</f>
        <v>3.1052631578947367</v>
      </c>
      <c r="N32" s="27">
        <f>21/2</f>
        <v>10.5</v>
      </c>
      <c r="O32" s="10">
        <v>4</v>
      </c>
    </row>
    <row r="33" spans="1:15">
      <c r="A33" s="16">
        <v>14</v>
      </c>
      <c r="B33" s="3" t="s">
        <v>39</v>
      </c>
      <c r="C33" s="3" t="s">
        <v>37</v>
      </c>
      <c r="D33" s="2">
        <v>16</v>
      </c>
      <c r="E33" s="2">
        <v>1</v>
      </c>
      <c r="F33" s="2">
        <v>1</v>
      </c>
      <c r="G33" s="2">
        <f>6+8</f>
        <v>14</v>
      </c>
      <c r="H33" s="2">
        <v>14</v>
      </c>
      <c r="I33" s="2">
        <f>27+23</f>
        <v>50</v>
      </c>
      <c r="J33" s="2">
        <f>E33*2+F33</f>
        <v>3</v>
      </c>
      <c r="K33" s="4">
        <f>H33/D33</f>
        <v>0.875</v>
      </c>
      <c r="L33" s="2">
        <v>0</v>
      </c>
      <c r="M33" s="4">
        <f>I33/D33</f>
        <v>3.125</v>
      </c>
      <c r="N33" s="27">
        <f>22/2</f>
        <v>11</v>
      </c>
      <c r="O33" s="10">
        <v>3</v>
      </c>
    </row>
    <row r="34" spans="1:15">
      <c r="A34" s="16">
        <v>15</v>
      </c>
      <c r="B34" s="3" t="s">
        <v>22</v>
      </c>
      <c r="C34" s="3" t="s">
        <v>38</v>
      </c>
      <c r="D34" s="2">
        <v>8</v>
      </c>
      <c r="E34" s="17">
        <v>2</v>
      </c>
      <c r="F34" s="17">
        <v>2</v>
      </c>
      <c r="G34" s="17">
        <v>4</v>
      </c>
      <c r="H34" s="17">
        <f>3+6</f>
        <v>9</v>
      </c>
      <c r="I34" s="17">
        <f>15+3</f>
        <v>18</v>
      </c>
      <c r="J34" s="17">
        <f>2*E34+F34</f>
        <v>6</v>
      </c>
      <c r="K34" s="18">
        <f>H34/D34</f>
        <v>1.125</v>
      </c>
      <c r="L34" s="17">
        <v>0</v>
      </c>
      <c r="M34" s="18">
        <f>I34/D34</f>
        <v>2.25</v>
      </c>
      <c r="N34" s="28">
        <f>13/1</f>
        <v>13</v>
      </c>
      <c r="O34" s="23">
        <v>2</v>
      </c>
    </row>
    <row r="35" spans="1:15">
      <c r="D35">
        <f>SUM(D20:D34)/2</f>
        <v>164</v>
      </c>
      <c r="H35">
        <f>SUM(H20:H34)</f>
        <v>840</v>
      </c>
      <c r="I35">
        <f>SUM(I20:I34)</f>
        <v>840</v>
      </c>
    </row>
    <row r="36" spans="1:15">
      <c r="G36">
        <f>H35/D35</f>
        <v>5.1219512195121952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workbookViewId="0">
      <selection activeCell="N33" sqref="N33"/>
    </sheetView>
  </sheetViews>
  <sheetFormatPr defaultRowHeight="15"/>
  <cols>
    <col min="3" max="3" width="9.140625" style="13"/>
  </cols>
  <sheetData>
    <row r="2" spans="1:15" ht="23.25">
      <c r="B2" s="11" t="s">
        <v>45</v>
      </c>
    </row>
    <row r="4" spans="1:15" ht="15.75" thickBot="1">
      <c r="A4" s="14" t="s">
        <v>0</v>
      </c>
      <c r="B4" s="8" t="s">
        <v>1</v>
      </c>
      <c r="C4" s="14" t="s">
        <v>2</v>
      </c>
      <c r="D4" s="8" t="s">
        <v>3</v>
      </c>
      <c r="E4" s="14" t="s">
        <v>4</v>
      </c>
      <c r="F4" s="14" t="s">
        <v>5</v>
      </c>
      <c r="G4" s="14" t="s">
        <v>6</v>
      </c>
      <c r="H4" s="21" t="s">
        <v>7</v>
      </c>
      <c r="I4" s="21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21" t="s">
        <v>30</v>
      </c>
      <c r="O4" s="21" t="s">
        <v>13</v>
      </c>
    </row>
    <row r="5" spans="1:15">
      <c r="A5" s="15">
        <v>1</v>
      </c>
      <c r="B5" s="5" t="s">
        <v>14</v>
      </c>
      <c r="C5" s="15" t="s">
        <v>15</v>
      </c>
      <c r="D5" s="6">
        <v>7</v>
      </c>
      <c r="E5" s="6">
        <v>5</v>
      </c>
      <c r="F5" s="6">
        <v>2</v>
      </c>
      <c r="G5" s="6">
        <v>0</v>
      </c>
      <c r="H5" s="6">
        <f>11+8+8</f>
        <v>27</v>
      </c>
      <c r="I5" s="6">
        <f>5+6+4</f>
        <v>15</v>
      </c>
      <c r="J5" s="6">
        <f>2*E5+F5</f>
        <v>12</v>
      </c>
      <c r="K5" s="7">
        <f>H5/D5</f>
        <v>3.8571428571428572</v>
      </c>
      <c r="L5" s="6">
        <v>0</v>
      </c>
      <c r="M5" s="7">
        <f>I5/D5</f>
        <v>2.1428571428571428</v>
      </c>
      <c r="N5" s="6"/>
      <c r="O5" s="35">
        <v>12</v>
      </c>
    </row>
    <row r="6" spans="1:15">
      <c r="A6" s="16">
        <v>2</v>
      </c>
      <c r="B6" s="3" t="s">
        <v>46</v>
      </c>
      <c r="C6" s="16" t="s">
        <v>17</v>
      </c>
      <c r="D6" s="2">
        <v>9</v>
      </c>
      <c r="E6" s="2">
        <v>5</v>
      </c>
      <c r="F6" s="2">
        <v>2</v>
      </c>
      <c r="G6" s="2">
        <v>2</v>
      </c>
      <c r="H6" s="2">
        <f>11+6+8+4</f>
        <v>29</v>
      </c>
      <c r="I6" s="2">
        <f>5+4+4+8</f>
        <v>21</v>
      </c>
      <c r="J6" s="2">
        <f t="shared" ref="J6:J12" si="0">2*E6+F6</f>
        <v>12</v>
      </c>
      <c r="K6" s="4">
        <f t="shared" ref="K6:K12" si="1">H6/D6</f>
        <v>3.2222222222222223</v>
      </c>
      <c r="L6" s="2">
        <v>0</v>
      </c>
      <c r="M6" s="4">
        <f t="shared" ref="M6:M12" si="2">I6/D6</f>
        <v>2.3333333333333335</v>
      </c>
      <c r="N6" s="2"/>
      <c r="O6" s="33">
        <v>9</v>
      </c>
    </row>
    <row r="7" spans="1:15">
      <c r="A7" s="16">
        <v>3</v>
      </c>
      <c r="B7" s="3" t="s">
        <v>24</v>
      </c>
      <c r="C7" s="16" t="s">
        <v>25</v>
      </c>
      <c r="D7" s="2">
        <v>7</v>
      </c>
      <c r="E7" s="2">
        <v>3</v>
      </c>
      <c r="F7" s="2">
        <v>3</v>
      </c>
      <c r="G7" s="2">
        <v>1</v>
      </c>
      <c r="H7" s="2">
        <f>9+5+4</f>
        <v>18</v>
      </c>
      <c r="I7" s="2">
        <f>3+3+8</f>
        <v>14</v>
      </c>
      <c r="J7" s="2">
        <f t="shared" si="0"/>
        <v>9</v>
      </c>
      <c r="K7" s="4">
        <f t="shared" si="1"/>
        <v>2.5714285714285716</v>
      </c>
      <c r="L7" s="2">
        <v>2</v>
      </c>
      <c r="M7" s="4">
        <f t="shared" si="2"/>
        <v>2</v>
      </c>
      <c r="N7" s="2"/>
      <c r="O7" s="33">
        <v>7</v>
      </c>
    </row>
    <row r="8" spans="1:15">
      <c r="A8" s="16">
        <v>4</v>
      </c>
      <c r="B8" s="3" t="s">
        <v>14</v>
      </c>
      <c r="C8" s="16" t="s">
        <v>19</v>
      </c>
      <c r="D8" s="2">
        <v>5</v>
      </c>
      <c r="E8" s="2">
        <v>4</v>
      </c>
      <c r="F8" s="2">
        <v>0</v>
      </c>
      <c r="G8" s="2">
        <v>1</v>
      </c>
      <c r="H8" s="2">
        <f>6+4</f>
        <v>10</v>
      </c>
      <c r="I8" s="2">
        <v>5</v>
      </c>
      <c r="J8" s="2">
        <f t="shared" si="0"/>
        <v>8</v>
      </c>
      <c r="K8" s="4">
        <f t="shared" si="1"/>
        <v>2</v>
      </c>
      <c r="L8" s="2">
        <v>3</v>
      </c>
      <c r="M8" s="4">
        <f t="shared" si="2"/>
        <v>1</v>
      </c>
      <c r="N8" s="2"/>
      <c r="O8" s="33">
        <v>5</v>
      </c>
    </row>
    <row r="9" spans="1:15">
      <c r="A9" s="16">
        <v>5</v>
      </c>
      <c r="B9" s="3" t="s">
        <v>26</v>
      </c>
      <c r="C9" s="16" t="s">
        <v>27</v>
      </c>
      <c r="D9" s="2">
        <v>8</v>
      </c>
      <c r="E9" s="2">
        <v>3</v>
      </c>
      <c r="F9" s="2">
        <v>2</v>
      </c>
      <c r="G9" s="2">
        <v>3</v>
      </c>
      <c r="H9" s="2">
        <f>4+3+8</f>
        <v>15</v>
      </c>
      <c r="I9" s="2">
        <f>3+5+7</f>
        <v>15</v>
      </c>
      <c r="J9" s="2">
        <f t="shared" si="0"/>
        <v>8</v>
      </c>
      <c r="K9" s="4">
        <f t="shared" si="1"/>
        <v>1.875</v>
      </c>
      <c r="L9" s="2">
        <v>2</v>
      </c>
      <c r="M9" s="4">
        <f t="shared" si="2"/>
        <v>1.875</v>
      </c>
      <c r="N9" s="2"/>
      <c r="O9" s="33">
        <v>4</v>
      </c>
    </row>
    <row r="10" spans="1:15">
      <c r="A10" s="16">
        <v>6</v>
      </c>
      <c r="B10" s="3" t="s">
        <v>20</v>
      </c>
      <c r="C10" s="16" t="s">
        <v>37</v>
      </c>
      <c r="D10" s="2">
        <v>8</v>
      </c>
      <c r="E10" s="2">
        <v>0</v>
      </c>
      <c r="F10" s="2">
        <v>4</v>
      </c>
      <c r="G10" s="2">
        <v>4</v>
      </c>
      <c r="H10" s="2">
        <f>2+4+4</f>
        <v>10</v>
      </c>
      <c r="I10" s="2">
        <f>12+6+4</f>
        <v>22</v>
      </c>
      <c r="J10" s="2">
        <f t="shared" si="0"/>
        <v>4</v>
      </c>
      <c r="K10" s="4">
        <f t="shared" si="1"/>
        <v>1.25</v>
      </c>
      <c r="L10" s="2">
        <v>1</v>
      </c>
      <c r="M10" s="4">
        <f t="shared" si="2"/>
        <v>2.75</v>
      </c>
      <c r="N10" s="2"/>
      <c r="O10" s="33">
        <v>3</v>
      </c>
    </row>
    <row r="11" spans="1:15">
      <c r="A11" s="16">
        <v>7</v>
      </c>
      <c r="B11" s="3" t="s">
        <v>39</v>
      </c>
      <c r="C11" s="16" t="s">
        <v>37</v>
      </c>
      <c r="D11" s="2">
        <v>8</v>
      </c>
      <c r="E11" s="2">
        <v>0</v>
      </c>
      <c r="F11" s="2">
        <v>3</v>
      </c>
      <c r="G11" s="2">
        <v>5</v>
      </c>
      <c r="H11" s="2">
        <f>1+6+4</f>
        <v>11</v>
      </c>
      <c r="I11" s="2">
        <f>5+8+5</f>
        <v>18</v>
      </c>
      <c r="J11" s="2">
        <f t="shared" si="0"/>
        <v>3</v>
      </c>
      <c r="K11" s="4">
        <f t="shared" si="1"/>
        <v>1.375</v>
      </c>
      <c r="L11" s="2">
        <v>1</v>
      </c>
      <c r="M11" s="4">
        <f t="shared" si="2"/>
        <v>2.25</v>
      </c>
      <c r="N11" s="2"/>
      <c r="O11" s="33">
        <v>2</v>
      </c>
    </row>
    <row r="12" spans="1:15">
      <c r="A12" s="16">
        <v>8</v>
      </c>
      <c r="B12" s="3" t="s">
        <v>28</v>
      </c>
      <c r="C12" s="16" t="s">
        <v>29</v>
      </c>
      <c r="D12" s="2">
        <v>8</v>
      </c>
      <c r="E12" s="2">
        <v>1</v>
      </c>
      <c r="F12" s="2">
        <v>1</v>
      </c>
      <c r="G12" s="2">
        <v>6</v>
      </c>
      <c r="H12" s="2">
        <f>4+2</f>
        <v>6</v>
      </c>
      <c r="I12" s="2">
        <f>6+6+4</f>
        <v>16</v>
      </c>
      <c r="J12" s="2">
        <f t="shared" si="0"/>
        <v>3</v>
      </c>
      <c r="K12" s="4">
        <f t="shared" si="1"/>
        <v>0.75</v>
      </c>
      <c r="L12" s="2">
        <v>0</v>
      </c>
      <c r="M12" s="4">
        <f t="shared" si="2"/>
        <v>2</v>
      </c>
      <c r="N12" s="2"/>
      <c r="O12" s="33">
        <v>1</v>
      </c>
    </row>
    <row r="13" spans="1:15">
      <c r="D13">
        <f>SUM(D5:D12)/2</f>
        <v>30</v>
      </c>
      <c r="H13">
        <f>SUM(H5:H12)</f>
        <v>126</v>
      </c>
      <c r="I13">
        <f>SUM(I5:I12)</f>
        <v>126</v>
      </c>
    </row>
    <row r="14" spans="1:15">
      <c r="G14" s="29">
        <f>H13/D13</f>
        <v>4.2</v>
      </c>
    </row>
    <row r="16" spans="1:15" ht="23.25">
      <c r="B16" s="11" t="s">
        <v>47</v>
      </c>
    </row>
    <row r="18" spans="1:15" ht="15.75" thickBot="1">
      <c r="A18" s="14" t="s">
        <v>0</v>
      </c>
      <c r="B18" s="8" t="s">
        <v>1</v>
      </c>
      <c r="C18" s="14" t="s">
        <v>2</v>
      </c>
      <c r="D18" s="8" t="s">
        <v>3</v>
      </c>
      <c r="E18" s="14" t="s">
        <v>4</v>
      </c>
      <c r="F18" s="14" t="s">
        <v>5</v>
      </c>
      <c r="G18" s="14" t="s">
        <v>6</v>
      </c>
      <c r="H18" s="21" t="s">
        <v>7</v>
      </c>
      <c r="I18" s="21" t="s">
        <v>8</v>
      </c>
      <c r="J18" s="14" t="s">
        <v>9</v>
      </c>
      <c r="K18" s="14" t="s">
        <v>10</v>
      </c>
      <c r="L18" s="14" t="s">
        <v>11</v>
      </c>
      <c r="M18" s="14" t="s">
        <v>12</v>
      </c>
      <c r="N18" s="21" t="s">
        <v>30</v>
      </c>
      <c r="O18" s="21" t="s">
        <v>13</v>
      </c>
    </row>
    <row r="19" spans="1:15">
      <c r="A19" s="15">
        <v>1</v>
      </c>
      <c r="B19" s="3" t="s">
        <v>16</v>
      </c>
      <c r="C19" s="16" t="s">
        <v>17</v>
      </c>
      <c r="D19" s="6">
        <f>34+9</f>
        <v>43</v>
      </c>
      <c r="E19" s="6">
        <f>5+21</f>
        <v>26</v>
      </c>
      <c r="F19" s="6">
        <v>10</v>
      </c>
      <c r="G19" s="6">
        <v>7</v>
      </c>
      <c r="H19" s="6">
        <f>29+105</f>
        <v>134</v>
      </c>
      <c r="I19" s="6">
        <f>21+68</f>
        <v>89</v>
      </c>
      <c r="J19" s="6">
        <f>E19*2+F19</f>
        <v>62</v>
      </c>
      <c r="K19" s="7">
        <f>H19/D19</f>
        <v>3.1162790697674421</v>
      </c>
      <c r="L19" s="6">
        <v>4</v>
      </c>
      <c r="M19" s="7">
        <f>I19/D19</f>
        <v>2.0697674418604652</v>
      </c>
      <c r="N19" s="7">
        <f>7/4</f>
        <v>1.75</v>
      </c>
      <c r="O19" s="35">
        <f>43+9</f>
        <v>52</v>
      </c>
    </row>
    <row r="20" spans="1:15">
      <c r="A20" s="16">
        <v>2</v>
      </c>
      <c r="B20" s="5" t="s">
        <v>14</v>
      </c>
      <c r="C20" s="15" t="s">
        <v>15</v>
      </c>
      <c r="D20" s="2">
        <f>7+34</f>
        <v>41</v>
      </c>
      <c r="E20" s="2">
        <v>25</v>
      </c>
      <c r="F20" s="2">
        <v>6</v>
      </c>
      <c r="G20" s="2">
        <v>10</v>
      </c>
      <c r="H20" s="2">
        <f>27+113</f>
        <v>140</v>
      </c>
      <c r="I20" s="2">
        <f>81+15</f>
        <v>96</v>
      </c>
      <c r="J20" s="2">
        <f t="shared" ref="J20" si="3">E20*2+F20</f>
        <v>56</v>
      </c>
      <c r="K20" s="4">
        <f t="shared" ref="K20:K21" si="4">H20/D20</f>
        <v>3.4146341463414633</v>
      </c>
      <c r="L20" s="2">
        <v>2</v>
      </c>
      <c r="M20" s="4">
        <f t="shared" ref="M20:M21" si="5">I20/D20</f>
        <v>2.3414634146341462</v>
      </c>
      <c r="N20" s="4">
        <f>11/4</f>
        <v>2.75</v>
      </c>
      <c r="O20" s="33">
        <f>34+12</f>
        <v>46</v>
      </c>
    </row>
    <row r="21" spans="1:15">
      <c r="A21" s="16">
        <v>3</v>
      </c>
      <c r="B21" s="3" t="s">
        <v>18</v>
      </c>
      <c r="C21" s="16" t="s">
        <v>19</v>
      </c>
      <c r="D21" s="2">
        <f>21+11</f>
        <v>32</v>
      </c>
      <c r="E21" s="2">
        <v>18</v>
      </c>
      <c r="F21" s="2">
        <v>4</v>
      </c>
      <c r="G21" s="2">
        <v>10</v>
      </c>
      <c r="H21" s="2">
        <f>64+42</f>
        <v>106</v>
      </c>
      <c r="I21" s="2">
        <f>23+53</f>
        <v>76</v>
      </c>
      <c r="J21" s="2">
        <f>E21*2+F21</f>
        <v>40</v>
      </c>
      <c r="K21" s="4">
        <f t="shared" si="4"/>
        <v>3.3125</v>
      </c>
      <c r="L21" s="2">
        <v>7</v>
      </c>
      <c r="M21" s="4">
        <f t="shared" si="5"/>
        <v>2.375</v>
      </c>
      <c r="N21" s="4">
        <f>12/3</f>
        <v>4</v>
      </c>
      <c r="O21" s="33">
        <f>9+19</f>
        <v>28</v>
      </c>
    </row>
    <row r="22" spans="1:15">
      <c r="A22" s="16">
        <v>4</v>
      </c>
      <c r="B22" s="3" t="s">
        <v>24</v>
      </c>
      <c r="C22" s="16" t="s">
        <v>25</v>
      </c>
      <c r="D22" s="2">
        <f>7+23</f>
        <v>30</v>
      </c>
      <c r="E22" s="31">
        <v>14</v>
      </c>
      <c r="F22" s="31">
        <v>8</v>
      </c>
      <c r="G22" s="31">
        <v>8</v>
      </c>
      <c r="H22" s="2">
        <f>18+64</f>
        <v>82</v>
      </c>
      <c r="I22" s="2">
        <f>62+14</f>
        <v>76</v>
      </c>
      <c r="J22" s="2">
        <f>E22*2+F22</f>
        <v>36</v>
      </c>
      <c r="K22" s="4">
        <f t="shared" ref="K22:K33" si="6">H22/D22</f>
        <v>2.7333333333333334</v>
      </c>
      <c r="L22" s="31">
        <v>5</v>
      </c>
      <c r="M22" s="4">
        <f t="shared" ref="M22:M33" si="7">I22/D22</f>
        <v>2.5333333333333332</v>
      </c>
      <c r="N22" s="4">
        <f>14/3</f>
        <v>4.666666666666667</v>
      </c>
      <c r="O22" s="33">
        <f>7+16</f>
        <v>23</v>
      </c>
    </row>
    <row r="23" spans="1:15">
      <c r="A23" s="16">
        <v>5</v>
      </c>
      <c r="B23" s="5" t="s">
        <v>31</v>
      </c>
      <c r="C23" s="15" t="s">
        <v>32</v>
      </c>
      <c r="D23" s="2">
        <v>14</v>
      </c>
      <c r="E23" s="17">
        <v>10</v>
      </c>
      <c r="F23" s="17">
        <v>3</v>
      </c>
      <c r="G23" s="17">
        <v>1</v>
      </c>
      <c r="H23" s="17">
        <f>23+11+12+7</f>
        <v>53</v>
      </c>
      <c r="I23" s="17">
        <f>9+6+3+5</f>
        <v>23</v>
      </c>
      <c r="J23" s="17">
        <f>2*E23+F23</f>
        <v>23</v>
      </c>
      <c r="K23" s="18">
        <f t="shared" si="6"/>
        <v>3.7857142857142856</v>
      </c>
      <c r="L23" s="17">
        <v>4</v>
      </c>
      <c r="M23" s="18">
        <f t="shared" si="7"/>
        <v>1.6428571428571428</v>
      </c>
      <c r="N23" s="18">
        <f>1/1</f>
        <v>1</v>
      </c>
      <c r="O23" s="34">
        <v>21</v>
      </c>
    </row>
    <row r="24" spans="1:15">
      <c r="A24" s="16">
        <v>6</v>
      </c>
      <c r="B24" s="3" t="s">
        <v>26</v>
      </c>
      <c r="C24" s="16" t="s">
        <v>27</v>
      </c>
      <c r="D24" s="2">
        <f>8+29</f>
        <v>37</v>
      </c>
      <c r="E24" s="31">
        <v>10</v>
      </c>
      <c r="F24" s="31">
        <v>7</v>
      </c>
      <c r="G24" s="31">
        <v>20</v>
      </c>
      <c r="H24" s="2">
        <f>15+65</f>
        <v>80</v>
      </c>
      <c r="I24" s="2">
        <f>111+15</f>
        <v>126</v>
      </c>
      <c r="J24" s="2">
        <f>E24*2+F24</f>
        <v>27</v>
      </c>
      <c r="K24" s="4">
        <f t="shared" si="6"/>
        <v>2.1621621621621623</v>
      </c>
      <c r="L24" s="31">
        <v>4</v>
      </c>
      <c r="M24" s="4">
        <f t="shared" si="7"/>
        <v>3.4054054054054053</v>
      </c>
      <c r="N24" s="4">
        <f>25/4</f>
        <v>6.25</v>
      </c>
      <c r="O24" s="33">
        <v>20</v>
      </c>
    </row>
    <row r="25" spans="1:15">
      <c r="A25" s="16">
        <v>7</v>
      </c>
      <c r="B25" s="3" t="s">
        <v>20</v>
      </c>
      <c r="C25" s="16" t="s">
        <v>21</v>
      </c>
      <c r="D25" s="2">
        <v>20</v>
      </c>
      <c r="E25" s="2">
        <v>10</v>
      </c>
      <c r="F25" s="2">
        <v>2</v>
      </c>
      <c r="G25" s="2">
        <v>8</v>
      </c>
      <c r="H25" s="2">
        <f>37+22</f>
        <v>59</v>
      </c>
      <c r="I25" s="2">
        <f>23+25</f>
        <v>48</v>
      </c>
      <c r="J25" s="2">
        <f>E25*2+F25</f>
        <v>22</v>
      </c>
      <c r="K25" s="4">
        <f t="shared" si="6"/>
        <v>2.95</v>
      </c>
      <c r="L25" s="2">
        <v>1</v>
      </c>
      <c r="M25" s="4">
        <f t="shared" si="7"/>
        <v>2.4</v>
      </c>
      <c r="N25" s="4">
        <f>6/2</f>
        <v>3</v>
      </c>
      <c r="O25" s="33">
        <v>18</v>
      </c>
    </row>
    <row r="26" spans="1:15">
      <c r="A26" s="16">
        <v>8</v>
      </c>
      <c r="B26" s="3" t="s">
        <v>22</v>
      </c>
      <c r="C26" s="16" t="s">
        <v>23</v>
      </c>
      <c r="D26" s="2">
        <v>32</v>
      </c>
      <c r="E26" s="2">
        <v>14</v>
      </c>
      <c r="F26" s="2">
        <v>5</v>
      </c>
      <c r="G26" s="2">
        <v>13</v>
      </c>
      <c r="H26" s="2">
        <f>55+29</f>
        <v>84</v>
      </c>
      <c r="I26" s="2">
        <f>18+47</f>
        <v>65</v>
      </c>
      <c r="J26" s="2">
        <f>E26*2+F26</f>
        <v>33</v>
      </c>
      <c r="K26" s="4">
        <f t="shared" si="6"/>
        <v>2.625</v>
      </c>
      <c r="L26" s="2">
        <v>9</v>
      </c>
      <c r="M26" s="4">
        <f t="shared" si="7"/>
        <v>2.03125</v>
      </c>
      <c r="N26" s="4">
        <f>17/3</f>
        <v>5.666666666666667</v>
      </c>
      <c r="O26" s="33">
        <v>18</v>
      </c>
    </row>
    <row r="27" spans="1:15">
      <c r="A27" s="16">
        <v>9</v>
      </c>
      <c r="B27" s="3" t="s">
        <v>14</v>
      </c>
      <c r="C27" s="16" t="s">
        <v>19</v>
      </c>
      <c r="D27" s="2">
        <f>5+28</f>
        <v>33</v>
      </c>
      <c r="E27" s="31">
        <v>12</v>
      </c>
      <c r="F27" s="31">
        <v>5</v>
      </c>
      <c r="G27" s="31">
        <v>16</v>
      </c>
      <c r="H27" s="2">
        <f>63+10</f>
        <v>73</v>
      </c>
      <c r="I27" s="2">
        <f>5+79</f>
        <v>84</v>
      </c>
      <c r="J27" s="2">
        <f>E27*2+F27</f>
        <v>29</v>
      </c>
      <c r="K27" s="4">
        <f t="shared" si="6"/>
        <v>2.2121212121212119</v>
      </c>
      <c r="L27" s="31">
        <v>5</v>
      </c>
      <c r="M27" s="4">
        <f t="shared" si="7"/>
        <v>2.5454545454545454</v>
      </c>
      <c r="N27" s="4">
        <f>26/4</f>
        <v>6.5</v>
      </c>
      <c r="O27" s="33">
        <v>18</v>
      </c>
    </row>
    <row r="28" spans="1:15">
      <c r="A28" s="16">
        <v>10</v>
      </c>
      <c r="B28" s="12" t="s">
        <v>33</v>
      </c>
      <c r="C28" s="30" t="s">
        <v>34</v>
      </c>
      <c r="D28" s="2">
        <v>13</v>
      </c>
      <c r="E28" s="17">
        <v>7</v>
      </c>
      <c r="F28" s="17">
        <v>1</v>
      </c>
      <c r="G28" s="17">
        <v>5</v>
      </c>
      <c r="H28" s="17">
        <f>13+10+3+11</f>
        <v>37</v>
      </c>
      <c r="I28" s="17">
        <f>7+4+12+11</f>
        <v>34</v>
      </c>
      <c r="J28" s="17">
        <f>2*E28+F28</f>
        <v>15</v>
      </c>
      <c r="K28" s="18">
        <f t="shared" si="6"/>
        <v>2.8461538461538463</v>
      </c>
      <c r="L28" s="17">
        <v>2</v>
      </c>
      <c r="M28" s="18">
        <f t="shared" si="7"/>
        <v>2.6153846153846154</v>
      </c>
      <c r="N28" s="18">
        <f>4/1</f>
        <v>4</v>
      </c>
      <c r="O28" s="34">
        <v>14</v>
      </c>
    </row>
    <row r="29" spans="1:15">
      <c r="A29" s="16">
        <v>11</v>
      </c>
      <c r="B29" s="3" t="s">
        <v>20</v>
      </c>
      <c r="C29" s="16" t="s">
        <v>37</v>
      </c>
      <c r="D29" s="2">
        <f>8+19</f>
        <v>27</v>
      </c>
      <c r="E29" s="2">
        <v>4</v>
      </c>
      <c r="F29" s="32">
        <v>6</v>
      </c>
      <c r="G29" s="32">
        <v>17</v>
      </c>
      <c r="H29" s="2">
        <f>27+10</f>
        <v>37</v>
      </c>
      <c r="I29" s="2">
        <f>22+59</f>
        <v>81</v>
      </c>
      <c r="J29" s="2">
        <f>E29*2+F29</f>
        <v>14</v>
      </c>
      <c r="K29" s="4">
        <f t="shared" si="6"/>
        <v>1.3703703703703705</v>
      </c>
      <c r="L29" s="32">
        <v>2</v>
      </c>
      <c r="M29" s="4">
        <f t="shared" si="7"/>
        <v>3</v>
      </c>
      <c r="N29" s="4">
        <f>27/3</f>
        <v>9</v>
      </c>
      <c r="O29" s="33">
        <v>7</v>
      </c>
    </row>
    <row r="30" spans="1:15">
      <c r="A30" s="16">
        <v>12</v>
      </c>
      <c r="B30" s="3" t="s">
        <v>28</v>
      </c>
      <c r="C30" s="16" t="s">
        <v>29</v>
      </c>
      <c r="D30" s="2">
        <f>8+17</f>
        <v>25</v>
      </c>
      <c r="E30" s="2">
        <f>3+1</f>
        <v>4</v>
      </c>
      <c r="F30" s="31">
        <v>1</v>
      </c>
      <c r="G30" s="31">
        <v>20</v>
      </c>
      <c r="H30" s="2">
        <f>6+18</f>
        <v>24</v>
      </c>
      <c r="I30" s="2">
        <f>47+16</f>
        <v>63</v>
      </c>
      <c r="J30" s="2">
        <f>E30*2+F30</f>
        <v>9</v>
      </c>
      <c r="K30" s="4">
        <f t="shared" si="6"/>
        <v>0.96</v>
      </c>
      <c r="L30" s="31">
        <v>2</v>
      </c>
      <c r="M30" s="4">
        <f t="shared" si="7"/>
        <v>2.52</v>
      </c>
      <c r="N30" s="4">
        <f>28/3</f>
        <v>9.3333333333333339</v>
      </c>
      <c r="O30" s="33">
        <v>6</v>
      </c>
    </row>
    <row r="31" spans="1:15">
      <c r="A31" s="16">
        <v>13</v>
      </c>
      <c r="B31" s="3" t="s">
        <v>39</v>
      </c>
      <c r="C31" s="16" t="s">
        <v>37</v>
      </c>
      <c r="D31" s="2">
        <f>16+8</f>
        <v>24</v>
      </c>
      <c r="E31" s="2">
        <v>1</v>
      </c>
      <c r="F31" s="31">
        <v>4</v>
      </c>
      <c r="G31" s="31">
        <v>19</v>
      </c>
      <c r="H31" s="2">
        <f>11+14</f>
        <v>25</v>
      </c>
      <c r="I31" s="2">
        <f>50+18</f>
        <v>68</v>
      </c>
      <c r="J31" s="2">
        <f>E31*2+F31</f>
        <v>6</v>
      </c>
      <c r="K31" s="4">
        <f t="shared" si="6"/>
        <v>1.0416666666666667</v>
      </c>
      <c r="L31" s="31">
        <v>1</v>
      </c>
      <c r="M31" s="4">
        <f t="shared" si="7"/>
        <v>2.8333333333333335</v>
      </c>
      <c r="N31" s="4">
        <f>29/3</f>
        <v>9.6666666666666661</v>
      </c>
      <c r="O31" s="33">
        <v>5</v>
      </c>
    </row>
    <row r="32" spans="1:15">
      <c r="A32" s="16">
        <v>14</v>
      </c>
      <c r="B32" s="3" t="s">
        <v>35</v>
      </c>
      <c r="C32" s="16" t="s">
        <v>36</v>
      </c>
      <c r="D32" s="2">
        <v>9</v>
      </c>
      <c r="E32" s="17">
        <v>3</v>
      </c>
      <c r="F32" s="17">
        <v>2</v>
      </c>
      <c r="G32" s="17">
        <v>4</v>
      </c>
      <c r="H32" s="17">
        <f>15+8</f>
        <v>23</v>
      </c>
      <c r="I32" s="17">
        <f>12+7</f>
        <v>19</v>
      </c>
      <c r="J32" s="17">
        <f>2*E32+F32</f>
        <v>8</v>
      </c>
      <c r="K32" s="18">
        <f t="shared" si="6"/>
        <v>2.5555555555555554</v>
      </c>
      <c r="L32" s="17">
        <v>1</v>
      </c>
      <c r="M32" s="18">
        <f t="shared" si="7"/>
        <v>2.1111111111111112</v>
      </c>
      <c r="N32" s="18">
        <f>10/1</f>
        <v>10</v>
      </c>
      <c r="O32" s="34">
        <v>5</v>
      </c>
    </row>
    <row r="33" spans="1:15">
      <c r="A33" s="16">
        <v>15</v>
      </c>
      <c r="B33" s="3" t="s">
        <v>22</v>
      </c>
      <c r="C33" s="16" t="s">
        <v>38</v>
      </c>
      <c r="D33" s="2">
        <v>8</v>
      </c>
      <c r="E33" s="17">
        <v>2</v>
      </c>
      <c r="F33" s="17">
        <v>2</v>
      </c>
      <c r="G33" s="17">
        <v>4</v>
      </c>
      <c r="H33" s="17">
        <f>3+6</f>
        <v>9</v>
      </c>
      <c r="I33" s="17">
        <f>15+3</f>
        <v>18</v>
      </c>
      <c r="J33" s="17">
        <f>2*E33+F33</f>
        <v>6</v>
      </c>
      <c r="K33" s="18">
        <f t="shared" si="6"/>
        <v>1.125</v>
      </c>
      <c r="L33" s="17">
        <v>0</v>
      </c>
      <c r="M33" s="18">
        <f t="shared" si="7"/>
        <v>2.25</v>
      </c>
      <c r="N33" s="18">
        <f>13/1</f>
        <v>13</v>
      </c>
      <c r="O33" s="23">
        <v>2</v>
      </c>
    </row>
    <row r="34" spans="1:15">
      <c r="D34">
        <f>SUM(D19:D33)/2</f>
        <v>194</v>
      </c>
      <c r="H34">
        <f>SUM(H19:H33)</f>
        <v>966</v>
      </c>
      <c r="I34">
        <f>SUM(I19:I33)</f>
        <v>966</v>
      </c>
    </row>
    <row r="35" spans="1:15">
      <c r="G35">
        <f>H34/D34</f>
        <v>4.9793814432989691</v>
      </c>
    </row>
  </sheetData>
  <pageMargins left="0.7" right="0.7" top="0.78740157499999996" bottom="0.78740157499999996" header="0.3" footer="0.3"/>
  <pageSetup paperSize="9" orientation="portrait" horizontalDpi="300" verticalDpi="300" r:id="rId1"/>
  <ignoredErrors>
    <ignoredError sqref="J23 J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P35"/>
  <sheetViews>
    <sheetView workbookViewId="0">
      <selection activeCell="S36" sqref="S36"/>
    </sheetView>
  </sheetViews>
  <sheetFormatPr defaultRowHeight="15"/>
  <cols>
    <col min="3" max="3" width="9.140625" style="13"/>
  </cols>
  <sheetData>
    <row r="2" spans="1:15" ht="25.5" customHeight="1">
      <c r="B2" s="11" t="s">
        <v>48</v>
      </c>
    </row>
    <row r="3" spans="1:15" ht="13.5" customHeight="1">
      <c r="B3" s="11"/>
    </row>
    <row r="4" spans="1:15" ht="15.75" thickBot="1">
      <c r="A4" s="14" t="s">
        <v>0</v>
      </c>
      <c r="B4" s="8" t="s">
        <v>1</v>
      </c>
      <c r="C4" s="14" t="s">
        <v>2</v>
      </c>
      <c r="D4" s="8" t="s">
        <v>3</v>
      </c>
      <c r="E4" s="14" t="s">
        <v>4</v>
      </c>
      <c r="F4" s="14" t="s">
        <v>5</v>
      </c>
      <c r="G4" s="14" t="s">
        <v>6</v>
      </c>
      <c r="H4" s="21" t="s">
        <v>7</v>
      </c>
      <c r="I4" s="21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21" t="s">
        <v>30</v>
      </c>
      <c r="O4" s="21" t="s">
        <v>13</v>
      </c>
    </row>
    <row r="5" spans="1:15">
      <c r="A5" s="15">
        <v>1</v>
      </c>
      <c r="B5" s="39" t="s">
        <v>14</v>
      </c>
      <c r="C5" s="40" t="s">
        <v>15</v>
      </c>
      <c r="D5" s="6">
        <v>10</v>
      </c>
      <c r="E5" s="6">
        <v>8</v>
      </c>
      <c r="F5" s="6">
        <v>1</v>
      </c>
      <c r="G5" s="6">
        <v>1</v>
      </c>
      <c r="H5" s="6">
        <f>12+7+7+13</f>
        <v>39</v>
      </c>
      <c r="I5" s="6">
        <f>4+4+12</f>
        <v>20</v>
      </c>
      <c r="J5" s="6">
        <f>2*E5+F5</f>
        <v>17</v>
      </c>
      <c r="K5" s="7">
        <f>H5/D5</f>
        <v>3.9</v>
      </c>
      <c r="L5" s="6">
        <v>2</v>
      </c>
      <c r="M5" s="7">
        <f>I5/D5</f>
        <v>2</v>
      </c>
      <c r="N5" s="6"/>
      <c r="O5" s="35">
        <v>12</v>
      </c>
    </row>
    <row r="6" spans="1:15">
      <c r="A6" s="16">
        <v>2</v>
      </c>
      <c r="B6" s="36" t="s">
        <v>46</v>
      </c>
      <c r="C6" s="37" t="s">
        <v>17</v>
      </c>
      <c r="D6" s="2">
        <v>11</v>
      </c>
      <c r="E6" s="2">
        <v>8</v>
      </c>
      <c r="F6" s="2">
        <v>1</v>
      </c>
      <c r="G6" s="2">
        <v>2</v>
      </c>
      <c r="H6" s="2">
        <f>11+6+9+12</f>
        <v>38</v>
      </c>
      <c r="I6" s="2">
        <f>3+1+6+13</f>
        <v>23</v>
      </c>
      <c r="J6" s="2">
        <f t="shared" ref="J6:J12" si="0">2*E6+F6</f>
        <v>17</v>
      </c>
      <c r="K6" s="7">
        <f t="shared" ref="K6:K12" si="1">H6/D6</f>
        <v>3.4545454545454546</v>
      </c>
      <c r="L6" s="2">
        <v>2</v>
      </c>
      <c r="M6" s="7">
        <f t="shared" ref="M6:M12" si="2">I6/D6</f>
        <v>2.0909090909090908</v>
      </c>
      <c r="N6" s="2"/>
      <c r="O6" s="33">
        <v>9</v>
      </c>
    </row>
    <row r="7" spans="1:15">
      <c r="A7" s="16">
        <v>3</v>
      </c>
      <c r="B7" s="38" t="s">
        <v>22</v>
      </c>
      <c r="C7" s="37" t="s">
        <v>23</v>
      </c>
      <c r="D7" s="2">
        <v>10</v>
      </c>
      <c r="E7" s="2">
        <v>6</v>
      </c>
      <c r="F7" s="2">
        <v>1</v>
      </c>
      <c r="G7" s="2">
        <v>3</v>
      </c>
      <c r="H7" s="2">
        <f>8+3+6+10</f>
        <v>27</v>
      </c>
      <c r="I7" s="2">
        <f>6+1+9+1</f>
        <v>17</v>
      </c>
      <c r="J7" s="2">
        <f t="shared" si="0"/>
        <v>13</v>
      </c>
      <c r="K7" s="7">
        <f t="shared" si="1"/>
        <v>2.7</v>
      </c>
      <c r="L7" s="2">
        <v>3</v>
      </c>
      <c r="M7" s="7">
        <f t="shared" si="2"/>
        <v>1.7</v>
      </c>
      <c r="N7" s="2"/>
      <c r="O7" s="33">
        <v>7</v>
      </c>
    </row>
    <row r="8" spans="1:15">
      <c r="A8" s="16">
        <v>4</v>
      </c>
      <c r="B8" s="38" t="s">
        <v>28</v>
      </c>
      <c r="C8" s="37" t="s">
        <v>29</v>
      </c>
      <c r="D8" s="2">
        <v>10</v>
      </c>
      <c r="E8" s="2">
        <v>2</v>
      </c>
      <c r="F8" s="2">
        <v>1</v>
      </c>
      <c r="G8" s="2">
        <v>7</v>
      </c>
      <c r="H8" s="2">
        <f>3+3+4+1</f>
        <v>11</v>
      </c>
      <c r="I8" s="2">
        <f>5+1+7+10</f>
        <v>23</v>
      </c>
      <c r="J8" s="2">
        <f t="shared" si="0"/>
        <v>5</v>
      </c>
      <c r="K8" s="7">
        <f t="shared" si="1"/>
        <v>1.1000000000000001</v>
      </c>
      <c r="L8" s="2">
        <v>3</v>
      </c>
      <c r="M8" s="7">
        <f t="shared" si="2"/>
        <v>2.2999999999999998</v>
      </c>
      <c r="N8" s="2"/>
      <c r="O8" s="33">
        <v>5</v>
      </c>
    </row>
    <row r="9" spans="1:15">
      <c r="A9" s="16">
        <v>5</v>
      </c>
      <c r="B9" s="38" t="s">
        <v>14</v>
      </c>
      <c r="C9" s="37" t="s">
        <v>19</v>
      </c>
      <c r="D9" s="2">
        <v>8</v>
      </c>
      <c r="E9" s="2">
        <v>3</v>
      </c>
      <c r="F9" s="2">
        <v>3</v>
      </c>
      <c r="G9" s="2">
        <v>2</v>
      </c>
      <c r="H9" s="2">
        <f>5+1+6</f>
        <v>12</v>
      </c>
      <c r="I9" s="2">
        <f>2+6+3</f>
        <v>11</v>
      </c>
      <c r="J9" s="2">
        <f t="shared" si="0"/>
        <v>9</v>
      </c>
      <c r="K9" s="7">
        <f t="shared" si="1"/>
        <v>1.5</v>
      </c>
      <c r="L9" s="2">
        <v>1</v>
      </c>
      <c r="M9" s="7">
        <f t="shared" si="2"/>
        <v>1.375</v>
      </c>
      <c r="N9" s="2"/>
      <c r="O9" s="33">
        <v>4</v>
      </c>
    </row>
    <row r="10" spans="1:15">
      <c r="A10" s="16">
        <v>6</v>
      </c>
      <c r="B10" s="38" t="s">
        <v>39</v>
      </c>
      <c r="C10" s="37" t="s">
        <v>37</v>
      </c>
      <c r="D10" s="2">
        <v>8</v>
      </c>
      <c r="E10" s="2">
        <v>1</v>
      </c>
      <c r="F10" s="2">
        <v>3</v>
      </c>
      <c r="G10" s="2">
        <v>4</v>
      </c>
      <c r="H10" s="2">
        <f>1+1+5</f>
        <v>7</v>
      </c>
      <c r="I10" s="2">
        <f>3+9+6</f>
        <v>18</v>
      </c>
      <c r="J10" s="2">
        <f t="shared" si="0"/>
        <v>5</v>
      </c>
      <c r="K10" s="7">
        <f t="shared" si="1"/>
        <v>0.875</v>
      </c>
      <c r="L10" s="2">
        <v>2</v>
      </c>
      <c r="M10" s="7">
        <f t="shared" si="2"/>
        <v>2.25</v>
      </c>
      <c r="N10" s="2"/>
      <c r="O10" s="33">
        <v>3</v>
      </c>
    </row>
    <row r="11" spans="1:15">
      <c r="A11" s="16">
        <v>7</v>
      </c>
      <c r="B11" s="38" t="s">
        <v>22</v>
      </c>
      <c r="C11" s="37" t="s">
        <v>38</v>
      </c>
      <c r="D11" s="2">
        <v>8</v>
      </c>
      <c r="E11" s="2">
        <v>1</v>
      </c>
      <c r="F11" s="2">
        <v>0</v>
      </c>
      <c r="G11" s="2">
        <v>7</v>
      </c>
      <c r="H11" s="2">
        <f>3+0+4</f>
        <v>7</v>
      </c>
      <c r="I11" s="2">
        <f>6+14+7</f>
        <v>27</v>
      </c>
      <c r="J11" s="2">
        <f t="shared" si="0"/>
        <v>2</v>
      </c>
      <c r="K11" s="7">
        <f t="shared" si="1"/>
        <v>0.875</v>
      </c>
      <c r="L11" s="2">
        <v>0</v>
      </c>
      <c r="M11" s="7">
        <f t="shared" si="2"/>
        <v>3.375</v>
      </c>
      <c r="N11" s="2"/>
      <c r="O11" s="33">
        <v>2</v>
      </c>
    </row>
    <row r="12" spans="1:15">
      <c r="A12" s="16">
        <v>8</v>
      </c>
      <c r="B12" s="38" t="s">
        <v>20</v>
      </c>
      <c r="C12" s="37" t="s">
        <v>37</v>
      </c>
      <c r="D12" s="2">
        <v>9</v>
      </c>
      <c r="E12" s="2">
        <v>2</v>
      </c>
      <c r="F12" s="2">
        <v>2</v>
      </c>
      <c r="G12" s="2">
        <v>5</v>
      </c>
      <c r="H12" s="2">
        <f>9+1+4</f>
        <v>14</v>
      </c>
      <c r="I12" s="2">
        <f>5+3+8</f>
        <v>16</v>
      </c>
      <c r="J12" s="2">
        <f t="shared" si="0"/>
        <v>6</v>
      </c>
      <c r="K12" s="7">
        <f t="shared" si="1"/>
        <v>1.5555555555555556</v>
      </c>
      <c r="L12" s="2">
        <v>1</v>
      </c>
      <c r="M12" s="7">
        <f t="shared" si="2"/>
        <v>1.7777777777777777</v>
      </c>
      <c r="N12" s="2"/>
      <c r="O12" s="33">
        <v>1</v>
      </c>
    </row>
    <row r="13" spans="1:15">
      <c r="D13">
        <f>SUM(D5:D12)/2</f>
        <v>37</v>
      </c>
      <c r="H13">
        <f>SUM(H5:H12)</f>
        <v>155</v>
      </c>
      <c r="I13">
        <f>SUM(I5:I12)</f>
        <v>155</v>
      </c>
    </row>
    <row r="14" spans="1:15">
      <c r="G14">
        <f>H13/D13</f>
        <v>4.1891891891891895</v>
      </c>
    </row>
    <row r="16" spans="1:15" ht="23.25">
      <c r="B16" s="11" t="s">
        <v>49</v>
      </c>
    </row>
    <row r="18" spans="1:16" ht="15.75" thickBot="1">
      <c r="A18" s="14" t="s">
        <v>0</v>
      </c>
      <c r="B18" s="8" t="s">
        <v>1</v>
      </c>
      <c r="C18" s="14" t="s">
        <v>2</v>
      </c>
      <c r="D18" s="8" t="s">
        <v>3</v>
      </c>
      <c r="E18" s="14" t="s">
        <v>4</v>
      </c>
      <c r="F18" s="14" t="s">
        <v>5</v>
      </c>
      <c r="G18" s="14" t="s">
        <v>6</v>
      </c>
      <c r="H18" s="21" t="s">
        <v>7</v>
      </c>
      <c r="I18" s="21" t="s">
        <v>8</v>
      </c>
      <c r="J18" s="14" t="s">
        <v>9</v>
      </c>
      <c r="K18" s="14" t="s">
        <v>10</v>
      </c>
      <c r="L18" s="14" t="s">
        <v>11</v>
      </c>
      <c r="M18" s="14" t="s">
        <v>12</v>
      </c>
      <c r="N18" s="21" t="s">
        <v>30</v>
      </c>
      <c r="O18" s="21" t="s">
        <v>13</v>
      </c>
    </row>
    <row r="19" spans="1:16">
      <c r="A19" s="15">
        <v>1</v>
      </c>
      <c r="B19" s="3" t="s">
        <v>16</v>
      </c>
      <c r="C19" s="16" t="s">
        <v>17</v>
      </c>
      <c r="D19" s="6">
        <f>43+11</f>
        <v>54</v>
      </c>
      <c r="E19" s="6">
        <f>8+26</f>
        <v>34</v>
      </c>
      <c r="F19" s="6">
        <f>1+10</f>
        <v>11</v>
      </c>
      <c r="G19" s="6">
        <v>9</v>
      </c>
      <c r="H19" s="6">
        <f>38+134</f>
        <v>172</v>
      </c>
      <c r="I19" s="6">
        <f>23+89</f>
        <v>112</v>
      </c>
      <c r="J19" s="6">
        <f>E19*2+F19</f>
        <v>79</v>
      </c>
      <c r="K19" s="7">
        <f>H19/D19</f>
        <v>3.1851851851851851</v>
      </c>
      <c r="L19" s="6">
        <v>6</v>
      </c>
      <c r="M19" s="7">
        <f>I19/D19</f>
        <v>2.074074074074074</v>
      </c>
      <c r="N19" s="26">
        <f>9/5</f>
        <v>1.8</v>
      </c>
      <c r="O19" s="9">
        <f>52+9</f>
        <v>61</v>
      </c>
    </row>
    <row r="20" spans="1:16">
      <c r="A20" s="16">
        <v>2</v>
      </c>
      <c r="B20" s="5" t="s">
        <v>14</v>
      </c>
      <c r="C20" s="15" t="s">
        <v>15</v>
      </c>
      <c r="D20" s="2">
        <f>41+10</f>
        <v>51</v>
      </c>
      <c r="E20" s="2">
        <v>33</v>
      </c>
      <c r="F20" s="2">
        <v>7</v>
      </c>
      <c r="G20" s="2">
        <v>11</v>
      </c>
      <c r="H20" s="2">
        <f>39+140</f>
        <v>179</v>
      </c>
      <c r="I20" s="2">
        <f>96+20</f>
        <v>116</v>
      </c>
      <c r="J20" s="6">
        <f t="shared" ref="J20:J33" si="3">E20*2+F20</f>
        <v>73</v>
      </c>
      <c r="K20" s="7">
        <f t="shared" ref="K20:K33" si="4">H20/D20</f>
        <v>3.5098039215686274</v>
      </c>
      <c r="L20" s="2">
        <v>4</v>
      </c>
      <c r="M20" s="7">
        <f t="shared" ref="M20:M33" si="5">I20/D20</f>
        <v>2.2745098039215685</v>
      </c>
      <c r="N20" s="27">
        <f>12/5</f>
        <v>2.4</v>
      </c>
      <c r="O20" s="10">
        <f>12+46</f>
        <v>58</v>
      </c>
    </row>
    <row r="21" spans="1:16">
      <c r="A21" s="16">
        <v>3</v>
      </c>
      <c r="B21" s="3" t="s">
        <v>18</v>
      </c>
      <c r="C21" s="16" t="s">
        <v>19</v>
      </c>
      <c r="D21" s="2">
        <f>21+11</f>
        <v>32</v>
      </c>
      <c r="E21" s="2">
        <v>18</v>
      </c>
      <c r="F21" s="2">
        <v>4</v>
      </c>
      <c r="G21" s="2">
        <v>10</v>
      </c>
      <c r="H21" s="2">
        <f>64+42</f>
        <v>106</v>
      </c>
      <c r="I21" s="2">
        <f>23+53</f>
        <v>76</v>
      </c>
      <c r="J21" s="6">
        <f t="shared" si="3"/>
        <v>40</v>
      </c>
      <c r="K21" s="7">
        <f t="shared" si="4"/>
        <v>3.3125</v>
      </c>
      <c r="L21" s="2">
        <v>7</v>
      </c>
      <c r="M21" s="7">
        <f t="shared" si="5"/>
        <v>2.375</v>
      </c>
      <c r="N21" s="27">
        <f>12/3</f>
        <v>4</v>
      </c>
      <c r="O21" s="33">
        <f>9+19</f>
        <v>28</v>
      </c>
    </row>
    <row r="22" spans="1:16">
      <c r="A22" s="16">
        <v>4</v>
      </c>
      <c r="B22" s="3" t="s">
        <v>22</v>
      </c>
      <c r="C22" s="16" t="s">
        <v>23</v>
      </c>
      <c r="D22" s="2">
        <f>42</f>
        <v>42</v>
      </c>
      <c r="E22" s="31">
        <v>20</v>
      </c>
      <c r="F22" s="31">
        <v>6</v>
      </c>
      <c r="G22" s="31">
        <v>16</v>
      </c>
      <c r="H22" s="2">
        <f>27+84</f>
        <v>111</v>
      </c>
      <c r="I22" s="2">
        <f>65+17</f>
        <v>82</v>
      </c>
      <c r="J22" s="6">
        <f t="shared" si="3"/>
        <v>46</v>
      </c>
      <c r="K22" s="7">
        <f t="shared" si="4"/>
        <v>2.6428571428571428</v>
      </c>
      <c r="L22" s="31">
        <v>12</v>
      </c>
      <c r="M22" s="7">
        <f t="shared" si="5"/>
        <v>1.9523809523809523</v>
      </c>
      <c r="N22" s="27">
        <f>20/4</f>
        <v>5</v>
      </c>
      <c r="O22" s="10">
        <f>7+18</f>
        <v>25</v>
      </c>
    </row>
    <row r="23" spans="1:16">
      <c r="A23" s="16">
        <v>5</v>
      </c>
      <c r="B23" s="3" t="s">
        <v>24</v>
      </c>
      <c r="C23" s="16" t="s">
        <v>25</v>
      </c>
      <c r="D23" s="2">
        <f>7+23</f>
        <v>30</v>
      </c>
      <c r="E23" s="31">
        <v>14</v>
      </c>
      <c r="F23" s="31">
        <v>8</v>
      </c>
      <c r="G23" s="31">
        <v>8</v>
      </c>
      <c r="H23" s="2">
        <f>18+64</f>
        <v>82</v>
      </c>
      <c r="I23" s="2">
        <f>62+14</f>
        <v>76</v>
      </c>
      <c r="J23" s="6">
        <f t="shared" si="3"/>
        <v>36</v>
      </c>
      <c r="K23" s="7">
        <f t="shared" si="4"/>
        <v>2.7333333333333334</v>
      </c>
      <c r="L23" s="31">
        <v>5</v>
      </c>
      <c r="M23" s="7">
        <f t="shared" si="5"/>
        <v>2.5333333333333332</v>
      </c>
      <c r="N23" s="27">
        <f>14/3</f>
        <v>4.666666666666667</v>
      </c>
      <c r="O23" s="33">
        <f>7+16</f>
        <v>23</v>
      </c>
    </row>
    <row r="24" spans="1:16">
      <c r="A24" s="16">
        <v>6</v>
      </c>
      <c r="B24" s="3" t="s">
        <v>14</v>
      </c>
      <c r="C24" s="16" t="s">
        <v>19</v>
      </c>
      <c r="D24" s="2">
        <f>8+33</f>
        <v>41</v>
      </c>
      <c r="E24" s="31">
        <v>15</v>
      </c>
      <c r="F24" s="31">
        <v>8</v>
      </c>
      <c r="G24" s="31">
        <v>18</v>
      </c>
      <c r="H24" s="2">
        <f>12+73</f>
        <v>85</v>
      </c>
      <c r="I24" s="2">
        <f>84+11</f>
        <v>95</v>
      </c>
      <c r="J24" s="6">
        <f t="shared" si="3"/>
        <v>38</v>
      </c>
      <c r="K24" s="7">
        <f t="shared" si="4"/>
        <v>2.0731707317073171</v>
      </c>
      <c r="L24" s="31">
        <v>6</v>
      </c>
      <c r="M24" s="7">
        <f t="shared" si="5"/>
        <v>2.3170731707317072</v>
      </c>
      <c r="N24" s="27">
        <f>31/5</f>
        <v>6.2</v>
      </c>
      <c r="O24" s="10">
        <f>4+18</f>
        <v>22</v>
      </c>
    </row>
    <row r="25" spans="1:16">
      <c r="A25" s="16">
        <v>7</v>
      </c>
      <c r="B25" s="5" t="s">
        <v>31</v>
      </c>
      <c r="C25" s="15" t="s">
        <v>32</v>
      </c>
      <c r="D25" s="2">
        <v>14</v>
      </c>
      <c r="E25" s="17">
        <v>10</v>
      </c>
      <c r="F25" s="17">
        <v>3</v>
      </c>
      <c r="G25" s="17">
        <v>1</v>
      </c>
      <c r="H25" s="17">
        <f>23+11+12+7</f>
        <v>53</v>
      </c>
      <c r="I25" s="17">
        <f>9+6+3+5</f>
        <v>23</v>
      </c>
      <c r="J25" s="6">
        <f t="shared" si="3"/>
        <v>23</v>
      </c>
      <c r="K25" s="7">
        <f t="shared" si="4"/>
        <v>3.7857142857142856</v>
      </c>
      <c r="L25" s="17">
        <v>4</v>
      </c>
      <c r="M25" s="7">
        <f t="shared" si="5"/>
        <v>1.6428571428571428</v>
      </c>
      <c r="N25" s="28">
        <f>1/1</f>
        <v>1</v>
      </c>
      <c r="O25" s="34">
        <v>21</v>
      </c>
    </row>
    <row r="26" spans="1:16">
      <c r="A26" s="16">
        <v>8</v>
      </c>
      <c r="B26" s="3" t="s">
        <v>26</v>
      </c>
      <c r="C26" s="16" t="s">
        <v>27</v>
      </c>
      <c r="D26" s="2">
        <f>8+29</f>
        <v>37</v>
      </c>
      <c r="E26" s="31">
        <v>10</v>
      </c>
      <c r="F26" s="31">
        <v>7</v>
      </c>
      <c r="G26" s="31">
        <v>20</v>
      </c>
      <c r="H26" s="2">
        <f>15+65</f>
        <v>80</v>
      </c>
      <c r="I26" s="2">
        <f>111+15</f>
        <v>126</v>
      </c>
      <c r="J26" s="6">
        <f t="shared" si="3"/>
        <v>27</v>
      </c>
      <c r="K26" s="7">
        <f t="shared" si="4"/>
        <v>2.1621621621621623</v>
      </c>
      <c r="L26" s="31">
        <v>4</v>
      </c>
      <c r="M26" s="7">
        <f t="shared" si="5"/>
        <v>3.4054054054054053</v>
      </c>
      <c r="N26" s="27">
        <f>25/4</f>
        <v>6.25</v>
      </c>
      <c r="O26" s="33">
        <v>20</v>
      </c>
    </row>
    <row r="27" spans="1:16">
      <c r="A27" s="16">
        <v>9</v>
      </c>
      <c r="B27" s="3" t="s">
        <v>20</v>
      </c>
      <c r="C27" s="16" t="s">
        <v>21</v>
      </c>
      <c r="D27" s="2">
        <v>20</v>
      </c>
      <c r="E27" s="2">
        <v>10</v>
      </c>
      <c r="F27" s="2">
        <v>2</v>
      </c>
      <c r="G27" s="2">
        <v>8</v>
      </c>
      <c r="H27" s="2">
        <f>37+22</f>
        <v>59</v>
      </c>
      <c r="I27" s="2">
        <f>23+25</f>
        <v>48</v>
      </c>
      <c r="J27" s="6">
        <f t="shared" si="3"/>
        <v>22</v>
      </c>
      <c r="K27" s="7">
        <f t="shared" si="4"/>
        <v>2.95</v>
      </c>
      <c r="L27" s="2">
        <v>1</v>
      </c>
      <c r="M27" s="7">
        <f t="shared" si="5"/>
        <v>2.4</v>
      </c>
      <c r="N27" s="27">
        <f>6/2</f>
        <v>3</v>
      </c>
      <c r="O27" s="33">
        <v>18</v>
      </c>
    </row>
    <row r="28" spans="1:16">
      <c r="A28" s="16">
        <v>10</v>
      </c>
      <c r="B28" s="12" t="s">
        <v>33</v>
      </c>
      <c r="C28" s="30" t="s">
        <v>34</v>
      </c>
      <c r="D28" s="2">
        <v>13</v>
      </c>
      <c r="E28" s="17">
        <v>7</v>
      </c>
      <c r="F28" s="17">
        <v>1</v>
      </c>
      <c r="G28" s="17">
        <v>5</v>
      </c>
      <c r="H28" s="17">
        <f>13+10+3+11</f>
        <v>37</v>
      </c>
      <c r="I28" s="17">
        <f>7+4+12+11</f>
        <v>34</v>
      </c>
      <c r="J28" s="6">
        <f t="shared" si="3"/>
        <v>15</v>
      </c>
      <c r="K28" s="7">
        <f t="shared" si="4"/>
        <v>2.8461538461538463</v>
      </c>
      <c r="L28" s="17">
        <v>2</v>
      </c>
      <c r="M28" s="7">
        <f t="shared" si="5"/>
        <v>2.6153846153846154</v>
      </c>
      <c r="N28" s="28">
        <f>4/1</f>
        <v>4</v>
      </c>
      <c r="O28" s="34">
        <v>14</v>
      </c>
    </row>
    <row r="29" spans="1:16">
      <c r="A29" s="16">
        <v>11</v>
      </c>
      <c r="B29" s="3" t="s">
        <v>28</v>
      </c>
      <c r="C29" s="16" t="s">
        <v>29</v>
      </c>
      <c r="D29" s="2">
        <v>35</v>
      </c>
      <c r="E29" s="31">
        <v>6</v>
      </c>
      <c r="F29" s="31">
        <v>2</v>
      </c>
      <c r="G29" s="31">
        <v>27</v>
      </c>
      <c r="H29" s="2">
        <f>11+24</f>
        <v>35</v>
      </c>
      <c r="I29" s="2">
        <f>63+23</f>
        <v>86</v>
      </c>
      <c r="J29" s="6">
        <f t="shared" si="3"/>
        <v>14</v>
      </c>
      <c r="K29" s="7">
        <f t="shared" si="4"/>
        <v>1</v>
      </c>
      <c r="L29" s="31">
        <v>5</v>
      </c>
      <c r="M29" s="7">
        <f t="shared" si="5"/>
        <v>2.4571428571428573</v>
      </c>
      <c r="N29" s="27">
        <f>32/4</f>
        <v>8</v>
      </c>
      <c r="O29" s="10">
        <v>11</v>
      </c>
    </row>
    <row r="30" spans="1:16">
      <c r="A30" s="16">
        <v>12</v>
      </c>
      <c r="B30" s="3" t="s">
        <v>20</v>
      </c>
      <c r="C30" s="16" t="s">
        <v>37</v>
      </c>
      <c r="D30" s="2">
        <f>27+9</f>
        <v>36</v>
      </c>
      <c r="E30" s="31">
        <v>6</v>
      </c>
      <c r="F30" s="31">
        <v>8</v>
      </c>
      <c r="G30" s="31">
        <v>22</v>
      </c>
      <c r="H30" s="2">
        <f>14+37</f>
        <v>51</v>
      </c>
      <c r="I30" s="2">
        <f>81+16</f>
        <v>97</v>
      </c>
      <c r="J30" s="6">
        <f t="shared" si="3"/>
        <v>20</v>
      </c>
      <c r="K30" s="7">
        <f t="shared" si="4"/>
        <v>1.4166666666666667</v>
      </c>
      <c r="L30" s="31">
        <v>3</v>
      </c>
      <c r="M30" s="7">
        <f t="shared" si="5"/>
        <v>2.6944444444444446</v>
      </c>
      <c r="N30" s="27">
        <f>35/4</f>
        <v>8.75</v>
      </c>
      <c r="O30" s="10">
        <v>8</v>
      </c>
      <c r="P30">
        <f>51-97</f>
        <v>-46</v>
      </c>
    </row>
    <row r="31" spans="1:16">
      <c r="A31" s="16">
        <v>13</v>
      </c>
      <c r="B31" s="3" t="s">
        <v>39</v>
      </c>
      <c r="C31" s="16" t="s">
        <v>37</v>
      </c>
      <c r="D31" s="2">
        <f>8+24</f>
        <v>32</v>
      </c>
      <c r="E31" s="31">
        <v>2</v>
      </c>
      <c r="F31" s="31">
        <v>7</v>
      </c>
      <c r="G31" s="31">
        <v>23</v>
      </c>
      <c r="H31" s="2">
        <f>7+25</f>
        <v>32</v>
      </c>
      <c r="I31" s="2">
        <f>68+18</f>
        <v>86</v>
      </c>
      <c r="J31" s="6">
        <f t="shared" si="3"/>
        <v>11</v>
      </c>
      <c r="K31" s="7">
        <f t="shared" si="4"/>
        <v>1</v>
      </c>
      <c r="L31" s="31">
        <v>3</v>
      </c>
      <c r="M31" s="7">
        <f t="shared" si="5"/>
        <v>2.6875</v>
      </c>
      <c r="N31" s="27">
        <f>35/4</f>
        <v>8.75</v>
      </c>
      <c r="O31" s="10">
        <v>8</v>
      </c>
      <c r="P31">
        <f>32-86</f>
        <v>-54</v>
      </c>
    </row>
    <row r="32" spans="1:16">
      <c r="A32" s="16">
        <v>14</v>
      </c>
      <c r="B32" s="3" t="s">
        <v>35</v>
      </c>
      <c r="C32" s="16" t="s">
        <v>36</v>
      </c>
      <c r="D32" s="2">
        <v>9</v>
      </c>
      <c r="E32" s="17">
        <v>3</v>
      </c>
      <c r="F32" s="17">
        <v>2</v>
      </c>
      <c r="G32" s="17">
        <v>4</v>
      </c>
      <c r="H32" s="17">
        <f>15+8</f>
        <v>23</v>
      </c>
      <c r="I32" s="17">
        <f>12+7</f>
        <v>19</v>
      </c>
      <c r="J32" s="6">
        <f t="shared" si="3"/>
        <v>8</v>
      </c>
      <c r="K32" s="7">
        <f t="shared" si="4"/>
        <v>2.5555555555555554</v>
      </c>
      <c r="L32" s="17">
        <v>1</v>
      </c>
      <c r="M32" s="7">
        <f t="shared" si="5"/>
        <v>2.1111111111111112</v>
      </c>
      <c r="N32" s="28">
        <f>10/1</f>
        <v>10</v>
      </c>
      <c r="O32" s="34">
        <v>5</v>
      </c>
    </row>
    <row r="33" spans="1:15">
      <c r="A33" s="16">
        <v>15</v>
      </c>
      <c r="B33" s="3" t="s">
        <v>22</v>
      </c>
      <c r="C33" s="16" t="s">
        <v>38</v>
      </c>
      <c r="D33" s="2">
        <f>16</f>
        <v>16</v>
      </c>
      <c r="E33" s="31">
        <v>3</v>
      </c>
      <c r="F33" s="31">
        <v>2</v>
      </c>
      <c r="G33" s="31">
        <v>11</v>
      </c>
      <c r="H33" s="31">
        <v>16</v>
      </c>
      <c r="I33" s="2">
        <f>27+18</f>
        <v>45</v>
      </c>
      <c r="J33" s="6">
        <f t="shared" si="3"/>
        <v>8</v>
      </c>
      <c r="K33" s="7">
        <f t="shared" si="4"/>
        <v>1</v>
      </c>
      <c r="L33" s="31">
        <v>0</v>
      </c>
      <c r="M33" s="7">
        <f t="shared" si="5"/>
        <v>2.8125</v>
      </c>
      <c r="N33" s="27">
        <f>20/2</f>
        <v>10</v>
      </c>
      <c r="O33" s="10">
        <v>4</v>
      </c>
    </row>
    <row r="34" spans="1:15">
      <c r="D34">
        <f>SUM(D19:D33)/2</f>
        <v>231</v>
      </c>
      <c r="H34">
        <f>SUM(H19:H33)</f>
        <v>1121</v>
      </c>
      <c r="I34">
        <f>SUM(I19:I33)</f>
        <v>1121</v>
      </c>
    </row>
    <row r="35" spans="1:15">
      <c r="G35">
        <f>H34/D34</f>
        <v>4.8528138528138527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7"/>
  <sheetViews>
    <sheetView zoomScaleNormal="100" workbookViewId="0">
      <selection activeCell="O5" sqref="O5:O14"/>
    </sheetView>
  </sheetViews>
  <sheetFormatPr defaultRowHeight="15"/>
  <cols>
    <col min="3" max="3" width="9.140625" style="13"/>
  </cols>
  <sheetData>
    <row r="2" spans="1:15" ht="23.25">
      <c r="B2" s="11" t="s">
        <v>50</v>
      </c>
    </row>
    <row r="4" spans="1:15" ht="15.75" thickBot="1">
      <c r="A4" s="14" t="s">
        <v>0</v>
      </c>
      <c r="B4" s="8" t="s">
        <v>1</v>
      </c>
      <c r="C4" s="14" t="s">
        <v>2</v>
      </c>
      <c r="D4" s="8" t="s">
        <v>3</v>
      </c>
      <c r="E4" s="14" t="s">
        <v>4</v>
      </c>
      <c r="F4" s="14" t="s">
        <v>5</v>
      </c>
      <c r="G4" s="14" t="s">
        <v>6</v>
      </c>
      <c r="H4" s="21" t="s">
        <v>7</v>
      </c>
      <c r="I4" s="21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21" t="s">
        <v>30</v>
      </c>
      <c r="O4" s="21" t="s">
        <v>13</v>
      </c>
    </row>
    <row r="5" spans="1:15">
      <c r="A5" s="15">
        <v>1</v>
      </c>
      <c r="B5" s="5" t="s">
        <v>22</v>
      </c>
      <c r="C5" s="15" t="s">
        <v>23</v>
      </c>
      <c r="D5" s="6">
        <v>12</v>
      </c>
      <c r="E5" s="6">
        <v>8</v>
      </c>
      <c r="F5" s="6">
        <v>2</v>
      </c>
      <c r="G5" s="6">
        <v>2</v>
      </c>
      <c r="H5" s="6">
        <f>7+7+8+5</f>
        <v>27</v>
      </c>
      <c r="I5" s="6">
        <f>4+4+4+3</f>
        <v>15</v>
      </c>
      <c r="J5" s="6">
        <f>E5*2+F5</f>
        <v>18</v>
      </c>
      <c r="K5" s="7">
        <f>H5/D5</f>
        <v>2.25</v>
      </c>
      <c r="L5" s="6">
        <v>2</v>
      </c>
      <c r="M5" s="7">
        <f>I5/D5</f>
        <v>1.25</v>
      </c>
      <c r="N5" s="6"/>
      <c r="O5" s="35">
        <v>15</v>
      </c>
    </row>
    <row r="6" spans="1:15">
      <c r="A6" s="16">
        <v>2</v>
      </c>
      <c r="B6" s="3" t="s">
        <v>18</v>
      </c>
      <c r="C6" s="16" t="s">
        <v>19</v>
      </c>
      <c r="D6" s="2">
        <v>11</v>
      </c>
      <c r="E6" s="2">
        <v>8</v>
      </c>
      <c r="F6" s="2">
        <v>1</v>
      </c>
      <c r="G6" s="2">
        <v>2</v>
      </c>
      <c r="H6" s="2">
        <f>18+12+8+3</f>
        <v>41</v>
      </c>
      <c r="I6" s="2">
        <f>5+1+1+5</f>
        <v>12</v>
      </c>
      <c r="J6" s="2">
        <f t="shared" ref="J6:J14" si="0">E6*2+F6</f>
        <v>17</v>
      </c>
      <c r="K6" s="4">
        <f t="shared" ref="K6:K14" si="1">H6/D6</f>
        <v>3.7272727272727271</v>
      </c>
      <c r="L6" s="2">
        <v>4</v>
      </c>
      <c r="M6" s="4">
        <f t="shared" ref="M6:M14" si="2">I6/D6</f>
        <v>1.0909090909090908</v>
      </c>
      <c r="N6" s="2"/>
      <c r="O6" s="33">
        <v>12</v>
      </c>
    </row>
    <row r="7" spans="1:15">
      <c r="A7" s="16">
        <v>3</v>
      </c>
      <c r="B7" s="3" t="s">
        <v>20</v>
      </c>
      <c r="C7" s="16" t="s">
        <v>21</v>
      </c>
      <c r="D7" s="2">
        <v>10</v>
      </c>
      <c r="E7" s="2">
        <v>6</v>
      </c>
      <c r="F7" s="2">
        <v>1</v>
      </c>
      <c r="G7" s="2">
        <v>3</v>
      </c>
      <c r="H7" s="2">
        <f>10+9+1+4</f>
        <v>24</v>
      </c>
      <c r="I7" s="2">
        <f>5+2+8+2</f>
        <v>17</v>
      </c>
      <c r="J7" s="2">
        <f t="shared" si="0"/>
        <v>13</v>
      </c>
      <c r="K7" s="4">
        <f t="shared" si="1"/>
        <v>2.4</v>
      </c>
      <c r="L7" s="2">
        <v>2</v>
      </c>
      <c r="M7" s="4">
        <f t="shared" si="2"/>
        <v>1.7</v>
      </c>
      <c r="N7" s="2"/>
      <c r="O7" s="33">
        <v>10</v>
      </c>
    </row>
    <row r="8" spans="1:15">
      <c r="A8" s="16">
        <v>4</v>
      </c>
      <c r="B8" s="3" t="s">
        <v>24</v>
      </c>
      <c r="C8" s="16" t="s">
        <v>25</v>
      </c>
      <c r="D8" s="2">
        <v>11</v>
      </c>
      <c r="E8" s="2">
        <v>5</v>
      </c>
      <c r="F8" s="2">
        <v>1</v>
      </c>
      <c r="G8" s="2">
        <v>5</v>
      </c>
      <c r="H8" s="2">
        <f>13+4+4+2</f>
        <v>23</v>
      </c>
      <c r="I8" s="2">
        <f>5+2+8+4</f>
        <v>19</v>
      </c>
      <c r="J8" s="2">
        <f t="shared" si="0"/>
        <v>11</v>
      </c>
      <c r="K8" s="4">
        <f t="shared" si="1"/>
        <v>2.0909090909090908</v>
      </c>
      <c r="L8" s="2">
        <v>2</v>
      </c>
      <c r="M8" s="4">
        <f t="shared" si="2"/>
        <v>1.7272727272727273</v>
      </c>
      <c r="N8" s="2"/>
      <c r="O8" s="33">
        <v>8</v>
      </c>
    </row>
    <row r="9" spans="1:15">
      <c r="A9" s="16">
        <v>5</v>
      </c>
      <c r="B9" s="3" t="s">
        <v>14</v>
      </c>
      <c r="C9" s="16" t="s">
        <v>19</v>
      </c>
      <c r="D9" s="2">
        <v>8</v>
      </c>
      <c r="E9" s="2">
        <v>4</v>
      </c>
      <c r="F9" s="2">
        <v>2</v>
      </c>
      <c r="G9" s="2">
        <v>2</v>
      </c>
      <c r="H9" s="2">
        <f>10+2+5</f>
        <v>17</v>
      </c>
      <c r="I9" s="2">
        <f>4+3+7</f>
        <v>14</v>
      </c>
      <c r="J9" s="2">
        <f t="shared" si="0"/>
        <v>10</v>
      </c>
      <c r="K9" s="4">
        <f t="shared" si="1"/>
        <v>2.125</v>
      </c>
      <c r="L9" s="2">
        <v>0</v>
      </c>
      <c r="M9" s="4">
        <f t="shared" si="2"/>
        <v>1.75</v>
      </c>
      <c r="N9" s="2"/>
      <c r="O9" s="33">
        <v>6</v>
      </c>
    </row>
    <row r="10" spans="1:15">
      <c r="A10" s="16">
        <v>6</v>
      </c>
      <c r="B10" s="3" t="s">
        <v>26</v>
      </c>
      <c r="C10" s="16" t="s">
        <v>27</v>
      </c>
      <c r="D10" s="2">
        <v>8</v>
      </c>
      <c r="E10" s="2">
        <v>2</v>
      </c>
      <c r="F10" s="2">
        <v>1</v>
      </c>
      <c r="G10" s="2">
        <v>5</v>
      </c>
      <c r="H10" s="2">
        <f>8+4+6</f>
        <v>18</v>
      </c>
      <c r="I10" s="2">
        <f>5+7+14</f>
        <v>26</v>
      </c>
      <c r="J10" s="2">
        <f t="shared" si="0"/>
        <v>5</v>
      </c>
      <c r="K10" s="4">
        <f t="shared" si="1"/>
        <v>2.25</v>
      </c>
      <c r="L10" s="2">
        <v>0</v>
      </c>
      <c r="M10" s="4">
        <f t="shared" si="2"/>
        <v>3.25</v>
      </c>
      <c r="N10" s="2"/>
      <c r="O10" s="33">
        <v>5</v>
      </c>
    </row>
    <row r="11" spans="1:15">
      <c r="A11" s="16">
        <v>7</v>
      </c>
      <c r="B11" s="3" t="s">
        <v>20</v>
      </c>
      <c r="C11" s="16" t="s">
        <v>37</v>
      </c>
      <c r="D11" s="2">
        <v>8</v>
      </c>
      <c r="E11" s="2">
        <v>1</v>
      </c>
      <c r="F11" s="2">
        <v>1</v>
      </c>
      <c r="G11" s="2">
        <v>6</v>
      </c>
      <c r="H11" s="2">
        <f>6+2+3</f>
        <v>11</v>
      </c>
      <c r="I11" s="2">
        <f>6+9+10</f>
        <v>25</v>
      </c>
      <c r="J11" s="2">
        <f t="shared" si="0"/>
        <v>3</v>
      </c>
      <c r="K11" s="4">
        <f t="shared" si="1"/>
        <v>1.375</v>
      </c>
      <c r="L11" s="2">
        <v>0</v>
      </c>
      <c r="M11" s="4">
        <f t="shared" si="2"/>
        <v>3.125</v>
      </c>
      <c r="N11" s="2"/>
      <c r="O11" s="33">
        <v>4</v>
      </c>
    </row>
    <row r="12" spans="1:15">
      <c r="A12" s="15">
        <v>8</v>
      </c>
      <c r="B12" s="3" t="s">
        <v>22</v>
      </c>
      <c r="C12" s="16" t="s">
        <v>38</v>
      </c>
      <c r="D12" s="2">
        <v>6</v>
      </c>
      <c r="E12" s="2">
        <v>1</v>
      </c>
      <c r="F12" s="2">
        <v>0</v>
      </c>
      <c r="G12" s="2">
        <v>5</v>
      </c>
      <c r="H12" s="2">
        <f>7+1</f>
        <v>8</v>
      </c>
      <c r="I12" s="2">
        <f>13+12</f>
        <v>25</v>
      </c>
      <c r="J12" s="2">
        <f t="shared" si="0"/>
        <v>2</v>
      </c>
      <c r="K12" s="4">
        <f t="shared" si="1"/>
        <v>1.3333333333333333</v>
      </c>
      <c r="L12" s="2">
        <v>0</v>
      </c>
      <c r="M12" s="4">
        <f t="shared" si="2"/>
        <v>4.166666666666667</v>
      </c>
      <c r="N12" s="2"/>
      <c r="O12" s="33">
        <v>3</v>
      </c>
    </row>
    <row r="13" spans="1:15">
      <c r="A13" s="16">
        <v>9</v>
      </c>
      <c r="B13" s="3" t="s">
        <v>51</v>
      </c>
      <c r="C13" s="16" t="s">
        <v>29</v>
      </c>
      <c r="D13" s="2">
        <v>6</v>
      </c>
      <c r="E13" s="2">
        <v>1</v>
      </c>
      <c r="F13" s="2">
        <v>2</v>
      </c>
      <c r="G13" s="2">
        <v>3</v>
      </c>
      <c r="H13" s="2">
        <f>2+6</f>
        <v>8</v>
      </c>
      <c r="I13" s="2">
        <f>12+3</f>
        <v>15</v>
      </c>
      <c r="J13" s="2">
        <f t="shared" si="0"/>
        <v>4</v>
      </c>
      <c r="K13" s="4">
        <f t="shared" si="1"/>
        <v>1.3333333333333333</v>
      </c>
      <c r="L13" s="2">
        <v>1</v>
      </c>
      <c r="M13" s="4">
        <f t="shared" si="2"/>
        <v>2.5</v>
      </c>
      <c r="N13" s="2"/>
      <c r="O13" s="33">
        <v>2</v>
      </c>
    </row>
    <row r="14" spans="1:15">
      <c r="A14" s="15">
        <v>10</v>
      </c>
      <c r="B14" s="3" t="s">
        <v>39</v>
      </c>
      <c r="C14" s="16" t="s">
        <v>37</v>
      </c>
      <c r="D14" s="2">
        <v>6</v>
      </c>
      <c r="E14" s="2">
        <v>1</v>
      </c>
      <c r="F14" s="2">
        <v>1</v>
      </c>
      <c r="G14" s="2">
        <v>4</v>
      </c>
      <c r="H14" s="2">
        <f>5+3</f>
        <v>8</v>
      </c>
      <c r="I14" s="2">
        <f>11+6</f>
        <v>17</v>
      </c>
      <c r="J14" s="2">
        <f t="shared" si="0"/>
        <v>3</v>
      </c>
      <c r="K14" s="4">
        <f t="shared" si="1"/>
        <v>1.3333333333333333</v>
      </c>
      <c r="L14" s="2">
        <v>0</v>
      </c>
      <c r="M14" s="4">
        <f t="shared" si="2"/>
        <v>2.8333333333333335</v>
      </c>
      <c r="N14" s="2"/>
      <c r="O14" s="33">
        <v>1</v>
      </c>
    </row>
    <row r="15" spans="1:15">
      <c r="D15" s="1">
        <f>SUM(D5:D14)/2</f>
        <v>43</v>
      </c>
      <c r="E15" s="1"/>
      <c r="F15" s="1"/>
      <c r="G15" s="1"/>
      <c r="H15" s="1">
        <f>SUM(H5:H14)</f>
        <v>185</v>
      </c>
      <c r="I15" s="1">
        <f>SUM(I5:I14)</f>
        <v>185</v>
      </c>
      <c r="J15" s="1"/>
      <c r="K15" s="1"/>
      <c r="L15" s="1"/>
      <c r="M15" s="1"/>
      <c r="N15" s="1"/>
      <c r="O15" s="1"/>
    </row>
    <row r="16" spans="1:15">
      <c r="D16" s="1"/>
      <c r="E16" s="1"/>
      <c r="F16" s="1"/>
      <c r="G16">
        <f>H15/D15</f>
        <v>4.3023255813953485</v>
      </c>
      <c r="H16" s="1"/>
      <c r="I16" s="1"/>
      <c r="J16" s="1"/>
      <c r="K16" s="1"/>
      <c r="L16" s="1"/>
      <c r="M16" s="1"/>
      <c r="N16" s="1"/>
      <c r="O16" s="1"/>
    </row>
    <row r="18" spans="1:15" ht="23.25">
      <c r="B18" s="11" t="s">
        <v>52</v>
      </c>
    </row>
    <row r="20" spans="1:15" ht="15.75" thickBot="1">
      <c r="A20" s="14" t="s">
        <v>0</v>
      </c>
      <c r="B20" s="8" t="s">
        <v>1</v>
      </c>
      <c r="C20" s="14" t="s">
        <v>2</v>
      </c>
      <c r="D20" s="8" t="s">
        <v>3</v>
      </c>
      <c r="E20" s="14" t="s">
        <v>4</v>
      </c>
      <c r="F20" s="14" t="s">
        <v>5</v>
      </c>
      <c r="G20" s="14" t="s">
        <v>6</v>
      </c>
      <c r="H20" s="21" t="s">
        <v>7</v>
      </c>
      <c r="I20" s="21" t="s">
        <v>8</v>
      </c>
      <c r="J20" s="14" t="s">
        <v>9</v>
      </c>
      <c r="K20" s="14" t="s">
        <v>10</v>
      </c>
      <c r="L20" s="14" t="s">
        <v>11</v>
      </c>
      <c r="M20" s="14" t="s">
        <v>12</v>
      </c>
      <c r="N20" s="21" t="s">
        <v>30</v>
      </c>
      <c r="O20" s="21" t="s">
        <v>13</v>
      </c>
    </row>
    <row r="21" spans="1:15">
      <c r="A21" s="15">
        <v>1</v>
      </c>
      <c r="B21" s="3" t="s">
        <v>16</v>
      </c>
      <c r="C21" s="15" t="s">
        <v>17</v>
      </c>
      <c r="D21" s="6">
        <f>43+11</f>
        <v>54</v>
      </c>
      <c r="E21" s="6">
        <f>8+26</f>
        <v>34</v>
      </c>
      <c r="F21" s="6">
        <f>1+10</f>
        <v>11</v>
      </c>
      <c r="G21" s="6">
        <v>9</v>
      </c>
      <c r="H21" s="6">
        <f>38+134</f>
        <v>172</v>
      </c>
      <c r="I21" s="6">
        <f>23+89</f>
        <v>112</v>
      </c>
      <c r="J21" s="6">
        <f>E21*2+F21</f>
        <v>79</v>
      </c>
      <c r="K21" s="7">
        <f>H21/D21</f>
        <v>3.1851851851851851</v>
      </c>
      <c r="L21" s="6">
        <v>6</v>
      </c>
      <c r="M21" s="7">
        <f>I21/D21</f>
        <v>2.074074074074074</v>
      </c>
      <c r="N21" s="26">
        <f>9/5</f>
        <v>1.8</v>
      </c>
      <c r="O21" s="9">
        <f>52+9</f>
        <v>61</v>
      </c>
    </row>
    <row r="22" spans="1:15">
      <c r="A22" s="16">
        <v>2</v>
      </c>
      <c r="B22" s="5" t="s">
        <v>14</v>
      </c>
      <c r="C22" s="15" t="s">
        <v>15</v>
      </c>
      <c r="D22" s="2">
        <f>41+10</f>
        <v>51</v>
      </c>
      <c r="E22" s="2">
        <v>33</v>
      </c>
      <c r="F22" s="2">
        <v>7</v>
      </c>
      <c r="G22" s="2">
        <v>11</v>
      </c>
      <c r="H22" s="2">
        <f>39+140</f>
        <v>179</v>
      </c>
      <c r="I22" s="2">
        <f>96+20</f>
        <v>116</v>
      </c>
      <c r="J22" s="2">
        <f t="shared" ref="J22" si="3">E22*2+F22</f>
        <v>73</v>
      </c>
      <c r="K22" s="4">
        <f t="shared" ref="K22:K33" si="4">H22/D22</f>
        <v>3.5098039215686274</v>
      </c>
      <c r="L22" s="2">
        <v>4</v>
      </c>
      <c r="M22" s="4">
        <f t="shared" ref="M22:M33" si="5">I22/D22</f>
        <v>2.2745098039215685</v>
      </c>
      <c r="N22" s="27">
        <f>12/5</f>
        <v>2.4</v>
      </c>
      <c r="O22" s="10">
        <f>12+46</f>
        <v>58</v>
      </c>
    </row>
    <row r="23" spans="1:15">
      <c r="A23" s="16">
        <v>3</v>
      </c>
      <c r="B23" s="3" t="s">
        <v>18</v>
      </c>
      <c r="C23" s="16" t="s">
        <v>19</v>
      </c>
      <c r="D23" s="2">
        <f>32+11</f>
        <v>43</v>
      </c>
      <c r="E23" s="2">
        <f>18+8</f>
        <v>26</v>
      </c>
      <c r="F23" s="2">
        <v>5</v>
      </c>
      <c r="G23" s="2">
        <v>12</v>
      </c>
      <c r="H23" s="2">
        <f>41+106</f>
        <v>147</v>
      </c>
      <c r="I23" s="2">
        <f>76+12</f>
        <v>88</v>
      </c>
      <c r="J23" s="2">
        <f>E23*2+F23</f>
        <v>57</v>
      </c>
      <c r="K23" s="4">
        <f t="shared" si="4"/>
        <v>3.4186046511627906</v>
      </c>
      <c r="L23" s="2">
        <v>11</v>
      </c>
      <c r="M23" s="4">
        <f t="shared" si="5"/>
        <v>2.0465116279069768</v>
      </c>
      <c r="N23" s="27">
        <f>14/4</f>
        <v>3.5</v>
      </c>
      <c r="O23" s="10">
        <f>12+28</f>
        <v>40</v>
      </c>
    </row>
    <row r="24" spans="1:15">
      <c r="A24" s="16">
        <v>4</v>
      </c>
      <c r="B24" s="3" t="s">
        <v>22</v>
      </c>
      <c r="C24" s="16" t="s">
        <v>23</v>
      </c>
      <c r="D24" s="2">
        <f>12+42</f>
        <v>54</v>
      </c>
      <c r="E24" s="2">
        <v>28</v>
      </c>
      <c r="F24" s="2">
        <v>8</v>
      </c>
      <c r="G24" s="2">
        <v>18</v>
      </c>
      <c r="H24" s="2">
        <f>27+111</f>
        <v>138</v>
      </c>
      <c r="I24" s="2">
        <f>82+15</f>
        <v>97</v>
      </c>
      <c r="J24" s="2">
        <f t="shared" ref="J24:J33" si="6">E24*2+F24</f>
        <v>64</v>
      </c>
      <c r="K24" s="4">
        <f t="shared" si="4"/>
        <v>2.5555555555555554</v>
      </c>
      <c r="L24" s="2">
        <v>14</v>
      </c>
      <c r="M24" s="4">
        <f t="shared" si="5"/>
        <v>1.7962962962962963</v>
      </c>
      <c r="N24" s="27">
        <f>21/5</f>
        <v>4.2</v>
      </c>
      <c r="O24" s="10">
        <f>15+25</f>
        <v>40</v>
      </c>
    </row>
    <row r="25" spans="1:15">
      <c r="A25" s="16">
        <v>5</v>
      </c>
      <c r="B25" s="3" t="s">
        <v>24</v>
      </c>
      <c r="C25" s="16" t="s">
        <v>25</v>
      </c>
      <c r="D25" s="2">
        <f>11+30</f>
        <v>41</v>
      </c>
      <c r="E25" s="2">
        <f>14+5</f>
        <v>19</v>
      </c>
      <c r="F25" s="2">
        <v>9</v>
      </c>
      <c r="G25" s="2">
        <v>13</v>
      </c>
      <c r="H25" s="2">
        <f>82+23</f>
        <v>105</v>
      </c>
      <c r="I25" s="2">
        <f>19+76</f>
        <v>95</v>
      </c>
      <c r="J25" s="2">
        <f t="shared" si="6"/>
        <v>47</v>
      </c>
      <c r="K25" s="4">
        <f t="shared" si="4"/>
        <v>2.5609756097560976</v>
      </c>
      <c r="L25" s="2">
        <v>7</v>
      </c>
      <c r="M25" s="4">
        <f t="shared" si="5"/>
        <v>2.3170731707317072</v>
      </c>
      <c r="N25" s="27">
        <f>18/4</f>
        <v>4.5</v>
      </c>
      <c r="O25" s="10">
        <f>8+23</f>
        <v>31</v>
      </c>
    </row>
    <row r="26" spans="1:15">
      <c r="A26" s="16">
        <v>6</v>
      </c>
      <c r="B26" s="3" t="s">
        <v>20</v>
      </c>
      <c r="C26" s="16" t="s">
        <v>21</v>
      </c>
      <c r="D26" s="2">
        <v>30</v>
      </c>
      <c r="E26" s="2">
        <v>16</v>
      </c>
      <c r="F26" s="2">
        <v>3</v>
      </c>
      <c r="G26" s="2">
        <v>11</v>
      </c>
      <c r="H26" s="2">
        <f>24+59</f>
        <v>83</v>
      </c>
      <c r="I26" s="2">
        <f>48+17</f>
        <v>65</v>
      </c>
      <c r="J26" s="2">
        <f>E26*2+F26</f>
        <v>35</v>
      </c>
      <c r="K26" s="4">
        <f>H26/D26</f>
        <v>2.7666666666666666</v>
      </c>
      <c r="L26" s="2">
        <v>3</v>
      </c>
      <c r="M26" s="4">
        <f>I26/D26</f>
        <v>2.1666666666666665</v>
      </c>
      <c r="N26" s="27">
        <f>9/3</f>
        <v>3</v>
      </c>
      <c r="O26" s="10">
        <v>28</v>
      </c>
    </row>
    <row r="27" spans="1:15">
      <c r="A27" s="16">
        <v>7</v>
      </c>
      <c r="B27" s="3" t="s">
        <v>14</v>
      </c>
      <c r="C27" s="16" t="s">
        <v>19</v>
      </c>
      <c r="D27" s="2">
        <f>8+41</f>
        <v>49</v>
      </c>
      <c r="E27" s="2">
        <v>19</v>
      </c>
      <c r="F27" s="2">
        <v>10</v>
      </c>
      <c r="G27" s="2">
        <v>20</v>
      </c>
      <c r="H27" s="2">
        <f>85+17</f>
        <v>102</v>
      </c>
      <c r="I27" s="2">
        <f>14+95</f>
        <v>109</v>
      </c>
      <c r="J27" s="2">
        <f>E27*2+F27</f>
        <v>48</v>
      </c>
      <c r="K27" s="4">
        <f>H27/D27</f>
        <v>2.0816326530612246</v>
      </c>
      <c r="L27" s="2">
        <v>6</v>
      </c>
      <c r="M27" s="4">
        <f>I27/D27</f>
        <v>2.2244897959183674</v>
      </c>
      <c r="N27" s="27">
        <f>36/6</f>
        <v>6</v>
      </c>
      <c r="O27" s="10">
        <v>28</v>
      </c>
    </row>
    <row r="28" spans="1:15">
      <c r="A28" s="16">
        <v>8</v>
      </c>
      <c r="B28" s="3" t="s">
        <v>26</v>
      </c>
      <c r="C28" s="16" t="s">
        <v>27</v>
      </c>
      <c r="D28" s="2">
        <f>37+8</f>
        <v>45</v>
      </c>
      <c r="E28" s="2">
        <v>12</v>
      </c>
      <c r="F28" s="2">
        <v>8</v>
      </c>
      <c r="G28" s="2">
        <v>25</v>
      </c>
      <c r="H28" s="2">
        <f>18+80</f>
        <v>98</v>
      </c>
      <c r="I28" s="2">
        <f>126+26</f>
        <v>152</v>
      </c>
      <c r="J28" s="2">
        <f t="shared" si="6"/>
        <v>32</v>
      </c>
      <c r="K28" s="4">
        <f t="shared" si="4"/>
        <v>2.1777777777777776</v>
      </c>
      <c r="L28" s="2">
        <v>4</v>
      </c>
      <c r="M28" s="4">
        <f t="shared" si="5"/>
        <v>3.3777777777777778</v>
      </c>
      <c r="N28" s="27">
        <f>31/5</f>
        <v>6.2</v>
      </c>
      <c r="O28" s="10">
        <v>25</v>
      </c>
    </row>
    <row r="29" spans="1:15">
      <c r="A29" s="16">
        <v>9</v>
      </c>
      <c r="B29" s="5" t="s">
        <v>31</v>
      </c>
      <c r="C29" s="15" t="s">
        <v>32</v>
      </c>
      <c r="D29" s="2">
        <v>14</v>
      </c>
      <c r="E29" s="17">
        <v>10</v>
      </c>
      <c r="F29" s="17">
        <v>3</v>
      </c>
      <c r="G29" s="17">
        <v>1</v>
      </c>
      <c r="H29" s="17">
        <f>23+11+12+7</f>
        <v>53</v>
      </c>
      <c r="I29" s="17">
        <f>9+6+3+5</f>
        <v>23</v>
      </c>
      <c r="J29" s="2">
        <f>E29*2+F29</f>
        <v>23</v>
      </c>
      <c r="K29" s="4">
        <f>H29/D29</f>
        <v>3.7857142857142856</v>
      </c>
      <c r="L29" s="17">
        <v>4</v>
      </c>
      <c r="M29" s="4">
        <f>I29/D29</f>
        <v>1.6428571428571428</v>
      </c>
      <c r="N29" s="28">
        <f>1/1</f>
        <v>1</v>
      </c>
      <c r="O29" s="34">
        <v>21</v>
      </c>
    </row>
    <row r="30" spans="1:15">
      <c r="A30" s="16">
        <v>10</v>
      </c>
      <c r="B30" s="12" t="s">
        <v>33</v>
      </c>
      <c r="C30" s="30" t="s">
        <v>34</v>
      </c>
      <c r="D30" s="2">
        <v>13</v>
      </c>
      <c r="E30" s="17">
        <v>7</v>
      </c>
      <c r="F30" s="17">
        <v>1</v>
      </c>
      <c r="G30" s="17">
        <v>5</v>
      </c>
      <c r="H30" s="17">
        <f>13+10+3+11</f>
        <v>37</v>
      </c>
      <c r="I30" s="17">
        <f>7+4+12+11</f>
        <v>34</v>
      </c>
      <c r="J30" s="2">
        <f t="shared" si="6"/>
        <v>15</v>
      </c>
      <c r="K30" s="4">
        <f t="shared" si="4"/>
        <v>2.8461538461538463</v>
      </c>
      <c r="L30" s="17">
        <v>2</v>
      </c>
      <c r="M30" s="4">
        <f t="shared" si="5"/>
        <v>2.6153846153846154</v>
      </c>
      <c r="N30" s="28">
        <f>4/1</f>
        <v>4</v>
      </c>
      <c r="O30" s="34">
        <v>14</v>
      </c>
    </row>
    <row r="31" spans="1:15">
      <c r="A31" s="16">
        <v>11</v>
      </c>
      <c r="B31" s="3" t="s">
        <v>28</v>
      </c>
      <c r="C31" s="16" t="s">
        <v>29</v>
      </c>
      <c r="D31" s="2">
        <f>35+6</f>
        <v>41</v>
      </c>
      <c r="E31" s="2">
        <v>7</v>
      </c>
      <c r="F31" s="2">
        <v>4</v>
      </c>
      <c r="G31" s="2">
        <v>30</v>
      </c>
      <c r="H31" s="2">
        <f>35+8</f>
        <v>43</v>
      </c>
      <c r="I31" s="2">
        <f>15+86</f>
        <v>101</v>
      </c>
      <c r="J31" s="2">
        <f t="shared" si="6"/>
        <v>18</v>
      </c>
      <c r="K31" s="4">
        <f t="shared" si="4"/>
        <v>1.0487804878048781</v>
      </c>
      <c r="L31" s="2">
        <v>6</v>
      </c>
      <c r="M31" s="4">
        <f t="shared" si="5"/>
        <v>2.4634146341463414</v>
      </c>
      <c r="N31" s="27">
        <f>41/5</f>
        <v>8.1999999999999993</v>
      </c>
      <c r="O31" s="10">
        <v>13</v>
      </c>
    </row>
    <row r="32" spans="1:15">
      <c r="A32" s="16">
        <v>12</v>
      </c>
      <c r="B32" s="3" t="s">
        <v>20</v>
      </c>
      <c r="C32" s="16" t="s">
        <v>37</v>
      </c>
      <c r="D32" s="2">
        <f>8+36</f>
        <v>44</v>
      </c>
      <c r="E32" s="2">
        <v>7</v>
      </c>
      <c r="F32" s="2">
        <v>9</v>
      </c>
      <c r="G32" s="2">
        <v>28</v>
      </c>
      <c r="H32" s="2">
        <f>11+51</f>
        <v>62</v>
      </c>
      <c r="I32" s="2">
        <f>97+25</f>
        <v>122</v>
      </c>
      <c r="J32" s="2">
        <f t="shared" si="6"/>
        <v>23</v>
      </c>
      <c r="K32" s="4">
        <f t="shared" si="4"/>
        <v>1.4090909090909092</v>
      </c>
      <c r="L32" s="2">
        <v>3</v>
      </c>
      <c r="M32" s="4">
        <f t="shared" si="5"/>
        <v>2.7727272727272729</v>
      </c>
      <c r="N32" s="27">
        <f>42/5</f>
        <v>8.4</v>
      </c>
      <c r="O32" s="10">
        <v>12</v>
      </c>
    </row>
    <row r="33" spans="1:15">
      <c r="A33" s="16">
        <v>13</v>
      </c>
      <c r="B33" s="3" t="s">
        <v>39</v>
      </c>
      <c r="C33" s="16" t="s">
        <v>37</v>
      </c>
      <c r="D33" s="2">
        <v>38</v>
      </c>
      <c r="E33" s="2">
        <v>3</v>
      </c>
      <c r="F33" s="2">
        <v>8</v>
      </c>
      <c r="G33" s="2">
        <v>27</v>
      </c>
      <c r="H33" s="2">
        <f>8+32</f>
        <v>40</v>
      </c>
      <c r="I33" s="2">
        <f>86+17</f>
        <v>103</v>
      </c>
      <c r="J33" s="2">
        <f t="shared" si="6"/>
        <v>14</v>
      </c>
      <c r="K33" s="4">
        <f t="shared" si="4"/>
        <v>1.0526315789473684</v>
      </c>
      <c r="L33" s="2">
        <v>3</v>
      </c>
      <c r="M33" s="4">
        <f t="shared" si="5"/>
        <v>2.7105263157894739</v>
      </c>
      <c r="N33" s="27">
        <f>45/5</f>
        <v>9</v>
      </c>
      <c r="O33" s="10">
        <v>9</v>
      </c>
    </row>
    <row r="34" spans="1:15">
      <c r="A34" s="16">
        <v>14</v>
      </c>
      <c r="B34" s="3" t="s">
        <v>22</v>
      </c>
      <c r="C34" s="16" t="s">
        <v>38</v>
      </c>
      <c r="D34" s="2">
        <f>16+6</f>
        <v>22</v>
      </c>
      <c r="E34" s="2">
        <v>4</v>
      </c>
      <c r="F34" s="2">
        <v>2</v>
      </c>
      <c r="G34" s="2">
        <v>16</v>
      </c>
      <c r="H34" s="2">
        <f>24</f>
        <v>24</v>
      </c>
      <c r="I34" s="2">
        <f>25+45</f>
        <v>70</v>
      </c>
      <c r="J34" s="2">
        <f>E34*2+F34</f>
        <v>10</v>
      </c>
      <c r="K34" s="4">
        <f>H34/D34</f>
        <v>1.0909090909090908</v>
      </c>
      <c r="L34" s="2">
        <v>0</v>
      </c>
      <c r="M34" s="4">
        <f>I34/D34</f>
        <v>3.1818181818181817</v>
      </c>
      <c r="N34" s="27">
        <f>28/3</f>
        <v>9.3333333333333339</v>
      </c>
      <c r="O34" s="10">
        <v>7</v>
      </c>
    </row>
    <row r="35" spans="1:15">
      <c r="A35" s="16">
        <v>15</v>
      </c>
      <c r="B35" s="3" t="s">
        <v>35</v>
      </c>
      <c r="C35" s="16" t="s">
        <v>36</v>
      </c>
      <c r="D35" s="2">
        <v>9</v>
      </c>
      <c r="E35" s="17">
        <v>3</v>
      </c>
      <c r="F35" s="17">
        <v>2</v>
      </c>
      <c r="G35" s="17">
        <v>4</v>
      </c>
      <c r="H35" s="17">
        <f>15+8</f>
        <v>23</v>
      </c>
      <c r="I35" s="17">
        <f>12+7</f>
        <v>19</v>
      </c>
      <c r="J35" s="2">
        <f>E35*2+F35</f>
        <v>8</v>
      </c>
      <c r="K35" s="4">
        <f>H35/D35</f>
        <v>2.5555555555555554</v>
      </c>
      <c r="L35" s="17">
        <v>1</v>
      </c>
      <c r="M35" s="4">
        <f>I35/D35</f>
        <v>2.1111111111111112</v>
      </c>
      <c r="N35" s="28">
        <f>10/1</f>
        <v>10</v>
      </c>
      <c r="O35" s="34">
        <v>5</v>
      </c>
    </row>
    <row r="36" spans="1:15">
      <c r="D36">
        <f>SUM(D21:D35)/2</f>
        <v>274</v>
      </c>
      <c r="H36">
        <f>SUM(H21:H35)</f>
        <v>1306</v>
      </c>
      <c r="I36">
        <f>SUM(I21:I35)</f>
        <v>1306</v>
      </c>
    </row>
    <row r="37" spans="1:15">
      <c r="G37">
        <f>H36/D36</f>
        <v>4.7664233576642339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E31" sqref="E31"/>
    </sheetView>
  </sheetViews>
  <sheetFormatPr defaultRowHeight="15"/>
  <sheetData>
    <row r="1" spans="1:15" ht="23.25">
      <c r="B1" s="11" t="s">
        <v>53</v>
      </c>
    </row>
    <row r="3" spans="1:15" ht="15.75" thickBot="1">
      <c r="A3" s="14" t="s">
        <v>0</v>
      </c>
      <c r="B3" s="8" t="s">
        <v>1</v>
      </c>
      <c r="C3" s="14" t="s">
        <v>2</v>
      </c>
      <c r="D3" s="8" t="s">
        <v>3</v>
      </c>
      <c r="E3" s="14" t="s">
        <v>4</v>
      </c>
      <c r="F3" s="14" t="s">
        <v>5</v>
      </c>
      <c r="G3" s="14" t="s">
        <v>6</v>
      </c>
      <c r="H3" s="21" t="s">
        <v>7</v>
      </c>
      <c r="I3" s="21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21" t="s">
        <v>30</v>
      </c>
      <c r="O3" s="21" t="s">
        <v>13</v>
      </c>
    </row>
    <row r="4" spans="1:15">
      <c r="A4" s="15">
        <v>1</v>
      </c>
      <c r="B4" s="5" t="s">
        <v>20</v>
      </c>
      <c r="C4" s="5" t="s">
        <v>21</v>
      </c>
      <c r="D4" s="6">
        <v>9</v>
      </c>
      <c r="E4" s="6">
        <v>8</v>
      </c>
      <c r="F4" s="6">
        <v>1</v>
      </c>
      <c r="G4" s="6">
        <v>0</v>
      </c>
      <c r="H4" s="6">
        <f>10+4+8+9</f>
        <v>31</v>
      </c>
      <c r="I4" s="6">
        <f>2+1+3+2</f>
        <v>8</v>
      </c>
      <c r="J4" s="6">
        <f>E4*2+F4</f>
        <v>17</v>
      </c>
      <c r="K4" s="7">
        <f>H4/D4</f>
        <v>3.4444444444444446</v>
      </c>
      <c r="L4" s="6">
        <v>4</v>
      </c>
      <c r="M4" s="7">
        <f>I4/D4</f>
        <v>0.88888888888888884</v>
      </c>
      <c r="N4" s="6"/>
      <c r="O4" s="9">
        <v>12</v>
      </c>
    </row>
    <row r="5" spans="1:15">
      <c r="A5" s="16">
        <v>2</v>
      </c>
      <c r="B5" s="3" t="s">
        <v>22</v>
      </c>
      <c r="C5" s="16" t="s">
        <v>23</v>
      </c>
      <c r="D5" s="2">
        <v>10</v>
      </c>
      <c r="E5" s="2">
        <v>6</v>
      </c>
      <c r="F5" s="2">
        <v>1</v>
      </c>
      <c r="G5" s="2">
        <v>3</v>
      </c>
      <c r="H5" s="2">
        <f>12+10+11+2</f>
        <v>35</v>
      </c>
      <c r="I5" s="2">
        <f>2+1+8+9</f>
        <v>20</v>
      </c>
      <c r="J5" s="2">
        <f t="shared" ref="J5:J11" si="0">E5*2+F5</f>
        <v>13</v>
      </c>
      <c r="K5" s="4">
        <f t="shared" ref="K5:K11" si="1">H5/D5</f>
        <v>3.5</v>
      </c>
      <c r="L5" s="2">
        <v>2</v>
      </c>
      <c r="M5" s="4">
        <f t="shared" ref="M5:M11" si="2">I5/D5</f>
        <v>2</v>
      </c>
      <c r="N5" s="2"/>
      <c r="O5" s="10">
        <v>9</v>
      </c>
    </row>
    <row r="6" spans="1:15">
      <c r="A6" s="16">
        <v>3</v>
      </c>
      <c r="B6" s="3" t="s">
        <v>18</v>
      </c>
      <c r="C6" s="16" t="s">
        <v>19</v>
      </c>
      <c r="D6" s="2">
        <v>11</v>
      </c>
      <c r="E6" s="2">
        <v>7</v>
      </c>
      <c r="F6" s="2">
        <v>1</v>
      </c>
      <c r="G6" s="2">
        <v>3</v>
      </c>
      <c r="H6" s="2">
        <f>11+11+8+6</f>
        <v>36</v>
      </c>
      <c r="I6" s="2">
        <f>8+4+11+3</f>
        <v>26</v>
      </c>
      <c r="J6" s="2">
        <f t="shared" si="0"/>
        <v>15</v>
      </c>
      <c r="K6" s="4">
        <f t="shared" si="1"/>
        <v>3.2727272727272729</v>
      </c>
      <c r="L6" s="2">
        <v>1</v>
      </c>
      <c r="M6" s="4">
        <f t="shared" si="2"/>
        <v>2.3636363636363638</v>
      </c>
      <c r="N6" s="2"/>
      <c r="O6" s="10">
        <v>7</v>
      </c>
    </row>
    <row r="7" spans="1:15">
      <c r="A7" s="16">
        <v>4</v>
      </c>
      <c r="B7" s="3" t="s">
        <v>24</v>
      </c>
      <c r="C7" s="16" t="s">
        <v>25</v>
      </c>
      <c r="D7" s="2">
        <v>10</v>
      </c>
      <c r="E7" s="2">
        <v>4</v>
      </c>
      <c r="F7" s="2">
        <v>1</v>
      </c>
      <c r="G7" s="2">
        <v>5</v>
      </c>
      <c r="H7" s="2">
        <f>6+8+3+3</f>
        <v>20</v>
      </c>
      <c r="I7" s="2">
        <f>5+7+8+6</f>
        <v>26</v>
      </c>
      <c r="J7" s="2">
        <f t="shared" si="0"/>
        <v>9</v>
      </c>
      <c r="K7" s="4">
        <f t="shared" si="1"/>
        <v>2</v>
      </c>
      <c r="L7" s="2">
        <v>0</v>
      </c>
      <c r="M7" s="4">
        <f t="shared" si="2"/>
        <v>2.6</v>
      </c>
      <c r="N7" s="2"/>
      <c r="O7" s="10">
        <v>5</v>
      </c>
    </row>
    <row r="8" spans="1:15">
      <c r="A8" s="16">
        <v>5</v>
      </c>
      <c r="B8" s="3" t="s">
        <v>26</v>
      </c>
      <c r="C8" s="16" t="s">
        <v>27</v>
      </c>
      <c r="D8" s="2">
        <v>9</v>
      </c>
      <c r="E8" s="2">
        <v>5</v>
      </c>
      <c r="F8" s="2">
        <v>0</v>
      </c>
      <c r="G8" s="2">
        <v>4</v>
      </c>
      <c r="H8" s="2">
        <f>7+7+15</f>
        <v>29</v>
      </c>
      <c r="I8" s="2">
        <f>11+8+3</f>
        <v>22</v>
      </c>
      <c r="J8" s="2">
        <f t="shared" si="0"/>
        <v>10</v>
      </c>
      <c r="K8" s="4">
        <f t="shared" si="1"/>
        <v>3.2222222222222223</v>
      </c>
      <c r="L8" s="2">
        <v>0</v>
      </c>
      <c r="M8" s="4">
        <f t="shared" si="2"/>
        <v>2.4444444444444446</v>
      </c>
      <c r="N8" s="2"/>
      <c r="O8" s="10">
        <v>4</v>
      </c>
    </row>
    <row r="9" spans="1:15">
      <c r="A9" s="16">
        <v>6</v>
      </c>
      <c r="B9" s="3" t="s">
        <v>20</v>
      </c>
      <c r="C9" s="16" t="s">
        <v>37</v>
      </c>
      <c r="D9" s="2">
        <v>9</v>
      </c>
      <c r="E9" s="2">
        <v>3</v>
      </c>
      <c r="F9" s="2">
        <v>1</v>
      </c>
      <c r="G9" s="2">
        <v>5</v>
      </c>
      <c r="H9" s="2">
        <f>4+4+6</f>
        <v>14</v>
      </c>
      <c r="I9" s="2">
        <f>8+11+7</f>
        <v>26</v>
      </c>
      <c r="J9" s="2">
        <f t="shared" si="0"/>
        <v>7</v>
      </c>
      <c r="K9" s="4">
        <f t="shared" si="1"/>
        <v>1.5555555555555556</v>
      </c>
      <c r="L9" s="2">
        <v>2</v>
      </c>
      <c r="M9" s="4">
        <f t="shared" si="2"/>
        <v>2.8888888888888888</v>
      </c>
      <c r="N9" s="2"/>
      <c r="O9" s="10">
        <v>3</v>
      </c>
    </row>
    <row r="10" spans="1:15">
      <c r="A10" s="16">
        <v>7</v>
      </c>
      <c r="B10" s="3" t="s">
        <v>28</v>
      </c>
      <c r="C10" s="16" t="s">
        <v>29</v>
      </c>
      <c r="D10" s="2">
        <v>8</v>
      </c>
      <c r="E10" s="2">
        <v>0</v>
      </c>
      <c r="F10" s="2">
        <v>2</v>
      </c>
      <c r="G10" s="2">
        <v>6</v>
      </c>
      <c r="H10" s="2">
        <f>2+1+1</f>
        <v>4</v>
      </c>
      <c r="I10" s="2">
        <f>9+4+4</f>
        <v>17</v>
      </c>
      <c r="J10" s="2">
        <f t="shared" si="0"/>
        <v>2</v>
      </c>
      <c r="K10" s="4">
        <f t="shared" si="1"/>
        <v>0.5</v>
      </c>
      <c r="L10" s="2">
        <v>2</v>
      </c>
      <c r="M10" s="4">
        <f t="shared" si="2"/>
        <v>2.125</v>
      </c>
      <c r="N10" s="2"/>
      <c r="O10" s="10">
        <v>2</v>
      </c>
    </row>
    <row r="11" spans="1:15">
      <c r="A11" s="15">
        <v>8</v>
      </c>
      <c r="B11" s="3" t="s">
        <v>39</v>
      </c>
      <c r="C11" s="16" t="s">
        <v>37</v>
      </c>
      <c r="D11" s="2">
        <v>8</v>
      </c>
      <c r="E11" s="2">
        <v>0</v>
      </c>
      <c r="F11" s="2">
        <v>1</v>
      </c>
      <c r="G11" s="2">
        <v>7</v>
      </c>
      <c r="H11" s="2">
        <f>3+1+2</f>
        <v>6</v>
      </c>
      <c r="I11" s="2">
        <f>10+10+10</f>
        <v>30</v>
      </c>
      <c r="J11" s="2">
        <f t="shared" si="0"/>
        <v>1</v>
      </c>
      <c r="K11" s="4">
        <f t="shared" si="1"/>
        <v>0.75</v>
      </c>
      <c r="L11" s="2">
        <v>1</v>
      </c>
      <c r="M11" s="4">
        <f t="shared" si="2"/>
        <v>3.75</v>
      </c>
      <c r="N11" s="2"/>
      <c r="O11" s="10">
        <v>1</v>
      </c>
    </row>
    <row r="12" spans="1:15">
      <c r="D12">
        <f>SUM(D4:D11)/2</f>
        <v>37</v>
      </c>
      <c r="H12">
        <f>SUM(H4:H11)</f>
        <v>175</v>
      </c>
      <c r="I12">
        <f>SUM(I4:I11)</f>
        <v>175</v>
      </c>
    </row>
    <row r="13" spans="1:15">
      <c r="G13">
        <f>H12/D12</f>
        <v>4.7297297297297298</v>
      </c>
    </row>
    <row r="15" spans="1:15" ht="23.25">
      <c r="B15" s="11" t="s">
        <v>54</v>
      </c>
      <c r="C15" s="13"/>
    </row>
    <row r="16" spans="1:15">
      <c r="C16" s="13"/>
    </row>
    <row r="17" spans="1:16" ht="15.75" thickBot="1">
      <c r="A17" s="14" t="s">
        <v>0</v>
      </c>
      <c r="B17" s="8" t="s">
        <v>1</v>
      </c>
      <c r="C17" s="14" t="s">
        <v>2</v>
      </c>
      <c r="D17" s="41" t="s">
        <v>3</v>
      </c>
      <c r="E17" s="42" t="s">
        <v>4</v>
      </c>
      <c r="F17" s="42" t="s">
        <v>5</v>
      </c>
      <c r="G17" s="42" t="s">
        <v>6</v>
      </c>
      <c r="H17" s="43" t="s">
        <v>7</v>
      </c>
      <c r="I17" s="43" t="s">
        <v>8</v>
      </c>
      <c r="J17" s="42" t="s">
        <v>9</v>
      </c>
      <c r="K17" s="42" t="s">
        <v>10</v>
      </c>
      <c r="L17" s="42" t="s">
        <v>11</v>
      </c>
      <c r="M17" s="42" t="s">
        <v>12</v>
      </c>
      <c r="N17" s="43" t="s">
        <v>30</v>
      </c>
      <c r="O17" s="43" t="s">
        <v>13</v>
      </c>
    </row>
    <row r="18" spans="1:16">
      <c r="A18" s="15">
        <v>1</v>
      </c>
      <c r="B18" s="3" t="s">
        <v>16</v>
      </c>
      <c r="C18" s="15" t="s">
        <v>17</v>
      </c>
      <c r="D18" s="2">
        <f>43+11</f>
        <v>54</v>
      </c>
      <c r="E18" s="2">
        <f>8+26</f>
        <v>34</v>
      </c>
      <c r="F18" s="2">
        <f>1+10</f>
        <v>11</v>
      </c>
      <c r="G18" s="2">
        <v>9</v>
      </c>
      <c r="H18" s="2">
        <f>38+134</f>
        <v>172</v>
      </c>
      <c r="I18" s="2">
        <f>23+89</f>
        <v>112</v>
      </c>
      <c r="J18" s="2">
        <f>E18*2+F18</f>
        <v>79</v>
      </c>
      <c r="K18" s="4">
        <f>H18/D18</f>
        <v>3.1851851851851851</v>
      </c>
      <c r="L18" s="2">
        <v>6</v>
      </c>
      <c r="M18" s="4">
        <f>I18/D18</f>
        <v>2.074074074074074</v>
      </c>
      <c r="N18" s="27">
        <f>9/5</f>
        <v>1.8</v>
      </c>
      <c r="O18" s="10">
        <f>52+9</f>
        <v>61</v>
      </c>
    </row>
    <row r="19" spans="1:16">
      <c r="A19" s="16">
        <v>2</v>
      </c>
      <c r="B19" s="5" t="s">
        <v>14</v>
      </c>
      <c r="C19" s="15" t="s">
        <v>15</v>
      </c>
      <c r="D19" s="2">
        <f>41+10</f>
        <v>51</v>
      </c>
      <c r="E19" s="2">
        <v>33</v>
      </c>
      <c r="F19" s="2">
        <v>7</v>
      </c>
      <c r="G19" s="2">
        <v>11</v>
      </c>
      <c r="H19" s="2">
        <f>39+140</f>
        <v>179</v>
      </c>
      <c r="I19" s="2">
        <f>96+20</f>
        <v>116</v>
      </c>
      <c r="J19" s="2">
        <f t="shared" ref="J19" si="3">E19*2+F19</f>
        <v>73</v>
      </c>
      <c r="K19" s="4">
        <f t="shared" ref="K19" si="4">H19/D19</f>
        <v>3.5098039215686274</v>
      </c>
      <c r="L19" s="2">
        <v>4</v>
      </c>
      <c r="M19" s="4">
        <f t="shared" ref="M19:M30" si="5">I19/D19</f>
        <v>2.2745098039215685</v>
      </c>
      <c r="N19" s="27">
        <f>12/5</f>
        <v>2.4</v>
      </c>
      <c r="O19" s="10">
        <f>12+46</f>
        <v>58</v>
      </c>
    </row>
    <row r="20" spans="1:16">
      <c r="A20" s="16">
        <v>3</v>
      </c>
      <c r="B20" s="3" t="s">
        <v>22</v>
      </c>
      <c r="C20" s="16" t="s">
        <v>23</v>
      </c>
      <c r="D20" s="2">
        <v>64</v>
      </c>
      <c r="E20" s="2">
        <f>6+28</f>
        <v>34</v>
      </c>
      <c r="F20" s="2">
        <v>9</v>
      </c>
      <c r="G20" s="2">
        <v>21</v>
      </c>
      <c r="H20" s="2">
        <f>138+35</f>
        <v>173</v>
      </c>
      <c r="I20" s="2">
        <f>20+97</f>
        <v>117</v>
      </c>
      <c r="J20" s="2">
        <f t="shared" ref="J20:J28" si="6">E20*2+F20</f>
        <v>77</v>
      </c>
      <c r="K20" s="4">
        <f t="shared" ref="K20:K28" si="7">H20/D20</f>
        <v>2.703125</v>
      </c>
      <c r="L20" s="31">
        <v>16</v>
      </c>
      <c r="M20" s="4">
        <f t="shared" ref="M20:M28" si="8">I20/D20</f>
        <v>1.828125</v>
      </c>
      <c r="N20" s="27">
        <f>23/6</f>
        <v>3.8333333333333335</v>
      </c>
      <c r="O20" s="10">
        <f>9+40</f>
        <v>49</v>
      </c>
    </row>
    <row r="21" spans="1:16">
      <c r="A21" s="16">
        <v>4</v>
      </c>
      <c r="B21" s="3" t="s">
        <v>18</v>
      </c>
      <c r="C21" s="16" t="s">
        <v>19</v>
      </c>
      <c r="D21" s="2">
        <f>43+11</f>
        <v>54</v>
      </c>
      <c r="E21" s="2">
        <f>7+26</f>
        <v>33</v>
      </c>
      <c r="F21" s="2">
        <f>5+1</f>
        <v>6</v>
      </c>
      <c r="G21" s="2">
        <f>3+12</f>
        <v>15</v>
      </c>
      <c r="H21" s="2">
        <f>147+36</f>
        <v>183</v>
      </c>
      <c r="I21" s="2">
        <f>26+88</f>
        <v>114</v>
      </c>
      <c r="J21" s="2">
        <f t="shared" si="6"/>
        <v>72</v>
      </c>
      <c r="K21" s="4">
        <f t="shared" si="7"/>
        <v>3.3888888888888888</v>
      </c>
      <c r="L21" s="2">
        <v>12</v>
      </c>
      <c r="M21" s="4">
        <f t="shared" si="8"/>
        <v>2.1111111111111112</v>
      </c>
      <c r="N21" s="27">
        <f>17/5</f>
        <v>3.4</v>
      </c>
      <c r="O21" s="10">
        <f>40+7</f>
        <v>47</v>
      </c>
    </row>
    <row r="22" spans="1:16">
      <c r="A22" s="16">
        <v>5</v>
      </c>
      <c r="B22" s="3" t="s">
        <v>20</v>
      </c>
      <c r="C22" s="16" t="s">
        <v>21</v>
      </c>
      <c r="D22" s="2">
        <v>39</v>
      </c>
      <c r="E22" s="2">
        <f>8+16</f>
        <v>24</v>
      </c>
      <c r="F22" s="31">
        <v>4</v>
      </c>
      <c r="G22" s="31">
        <v>11</v>
      </c>
      <c r="H22" s="2">
        <f>31+83</f>
        <v>114</v>
      </c>
      <c r="I22" s="2">
        <f>65+8</f>
        <v>73</v>
      </c>
      <c r="J22" s="2">
        <f t="shared" si="6"/>
        <v>52</v>
      </c>
      <c r="K22" s="4">
        <f t="shared" si="7"/>
        <v>2.9230769230769229</v>
      </c>
      <c r="L22" s="31">
        <v>7</v>
      </c>
      <c r="M22" s="4">
        <f t="shared" si="8"/>
        <v>1.8717948717948718</v>
      </c>
      <c r="N22" s="27">
        <f>10/4</f>
        <v>2.5</v>
      </c>
      <c r="O22" s="10">
        <f>12+28</f>
        <v>40</v>
      </c>
    </row>
    <row r="23" spans="1:16">
      <c r="A23" s="16">
        <v>6</v>
      </c>
      <c r="B23" s="3" t="s">
        <v>24</v>
      </c>
      <c r="C23" s="16" t="s">
        <v>25</v>
      </c>
      <c r="D23" s="2">
        <v>51</v>
      </c>
      <c r="E23" s="2">
        <v>23</v>
      </c>
      <c r="F23" s="31">
        <v>10</v>
      </c>
      <c r="G23" s="31">
        <v>18</v>
      </c>
      <c r="H23" s="2">
        <f>105+20</f>
        <v>125</v>
      </c>
      <c r="I23" s="2">
        <f>26+95</f>
        <v>121</v>
      </c>
      <c r="J23" s="2">
        <f t="shared" si="6"/>
        <v>56</v>
      </c>
      <c r="K23" s="4">
        <f t="shared" si="7"/>
        <v>2.4509803921568629</v>
      </c>
      <c r="L23" s="31">
        <v>7</v>
      </c>
      <c r="M23" s="4">
        <f t="shared" si="8"/>
        <v>2.3725490196078431</v>
      </c>
      <c r="N23" s="27">
        <f>22/5</f>
        <v>4.4000000000000004</v>
      </c>
      <c r="O23" s="10">
        <v>36</v>
      </c>
    </row>
    <row r="24" spans="1:16">
      <c r="A24" s="16">
        <v>7</v>
      </c>
      <c r="B24" s="3" t="s">
        <v>26</v>
      </c>
      <c r="C24" s="16" t="s">
        <v>27</v>
      </c>
      <c r="D24" s="2">
        <f>45+9</f>
        <v>54</v>
      </c>
      <c r="E24" s="2">
        <v>17</v>
      </c>
      <c r="F24" s="31">
        <v>8</v>
      </c>
      <c r="G24" s="31">
        <v>29</v>
      </c>
      <c r="H24" s="2">
        <f>98+29</f>
        <v>127</v>
      </c>
      <c r="I24" s="2">
        <f>22+152</f>
        <v>174</v>
      </c>
      <c r="J24" s="2">
        <f t="shared" si="6"/>
        <v>42</v>
      </c>
      <c r="K24" s="4">
        <f t="shared" si="7"/>
        <v>2.3518518518518516</v>
      </c>
      <c r="L24" s="31">
        <v>4</v>
      </c>
      <c r="M24" s="4">
        <f t="shared" si="8"/>
        <v>3.2222222222222223</v>
      </c>
      <c r="N24" s="27">
        <f>36/6</f>
        <v>6</v>
      </c>
      <c r="O24" s="10">
        <v>29</v>
      </c>
    </row>
    <row r="25" spans="1:16">
      <c r="A25" s="16">
        <v>8</v>
      </c>
      <c r="B25" s="3" t="s">
        <v>14</v>
      </c>
      <c r="C25" s="16" t="s">
        <v>19</v>
      </c>
      <c r="D25" s="2">
        <f>8+41</f>
        <v>49</v>
      </c>
      <c r="E25" s="2">
        <v>19</v>
      </c>
      <c r="F25" s="2">
        <v>10</v>
      </c>
      <c r="G25" s="2">
        <v>20</v>
      </c>
      <c r="H25" s="2">
        <f>85+17</f>
        <v>102</v>
      </c>
      <c r="I25" s="2">
        <f>14+95</f>
        <v>109</v>
      </c>
      <c r="J25" s="2">
        <f t="shared" si="6"/>
        <v>48</v>
      </c>
      <c r="K25" s="4">
        <f t="shared" si="7"/>
        <v>2.0816326530612246</v>
      </c>
      <c r="L25" s="2">
        <v>6</v>
      </c>
      <c r="M25" s="4">
        <f t="shared" si="8"/>
        <v>2.2244897959183674</v>
      </c>
      <c r="N25" s="27">
        <f>36/6</f>
        <v>6</v>
      </c>
      <c r="O25" s="10">
        <v>28</v>
      </c>
    </row>
    <row r="26" spans="1:16">
      <c r="A26" s="16">
        <v>9</v>
      </c>
      <c r="B26" s="5" t="s">
        <v>31</v>
      </c>
      <c r="C26" s="15" t="s">
        <v>32</v>
      </c>
      <c r="D26" s="2">
        <v>14</v>
      </c>
      <c r="E26" s="17">
        <v>10</v>
      </c>
      <c r="F26" s="17">
        <v>3</v>
      </c>
      <c r="G26" s="17">
        <v>1</v>
      </c>
      <c r="H26" s="17">
        <f>23+11+12+7</f>
        <v>53</v>
      </c>
      <c r="I26" s="17">
        <f>9+6+3+5</f>
        <v>23</v>
      </c>
      <c r="J26" s="2">
        <f t="shared" si="6"/>
        <v>23</v>
      </c>
      <c r="K26" s="4">
        <f t="shared" si="7"/>
        <v>3.7857142857142856</v>
      </c>
      <c r="L26" s="17">
        <v>4</v>
      </c>
      <c r="M26" s="4">
        <f t="shared" si="8"/>
        <v>1.6428571428571428</v>
      </c>
      <c r="N26" s="28">
        <f>1/1</f>
        <v>1</v>
      </c>
      <c r="O26" s="34">
        <v>21</v>
      </c>
    </row>
    <row r="27" spans="1:16">
      <c r="A27" s="16">
        <v>10</v>
      </c>
      <c r="B27" s="3" t="s">
        <v>28</v>
      </c>
      <c r="C27" s="16" t="s">
        <v>29</v>
      </c>
      <c r="D27" s="2">
        <f>41+8</f>
        <v>49</v>
      </c>
      <c r="E27" s="2">
        <v>7</v>
      </c>
      <c r="F27" s="2">
        <v>6</v>
      </c>
      <c r="G27" s="2">
        <v>36</v>
      </c>
      <c r="H27" s="2">
        <f>4+43</f>
        <v>47</v>
      </c>
      <c r="I27" s="2">
        <f>101+17</f>
        <v>118</v>
      </c>
      <c r="J27" s="2">
        <f t="shared" si="6"/>
        <v>20</v>
      </c>
      <c r="K27" s="4">
        <f t="shared" si="7"/>
        <v>0.95918367346938771</v>
      </c>
      <c r="L27" s="2">
        <v>8</v>
      </c>
      <c r="M27" s="4">
        <f t="shared" si="8"/>
        <v>2.4081632653061225</v>
      </c>
      <c r="N27" s="27">
        <f>48/6</f>
        <v>8</v>
      </c>
      <c r="O27" s="10">
        <v>15</v>
      </c>
      <c r="P27">
        <f>H27-I27</f>
        <v>-71</v>
      </c>
    </row>
    <row r="28" spans="1:16">
      <c r="A28" s="16">
        <v>11</v>
      </c>
      <c r="B28" s="3" t="s">
        <v>20</v>
      </c>
      <c r="C28" s="16" t="s">
        <v>37</v>
      </c>
      <c r="D28" s="2">
        <f>44+9</f>
        <v>53</v>
      </c>
      <c r="E28" s="2">
        <v>10</v>
      </c>
      <c r="F28" s="2">
        <v>10</v>
      </c>
      <c r="G28" s="2">
        <f>28+5</f>
        <v>33</v>
      </c>
      <c r="H28" s="2">
        <f>62+14</f>
        <v>76</v>
      </c>
      <c r="I28" s="2">
        <f>122+26</f>
        <v>148</v>
      </c>
      <c r="J28" s="2">
        <f t="shared" si="6"/>
        <v>30</v>
      </c>
      <c r="K28" s="4">
        <f t="shared" si="7"/>
        <v>1.4339622641509433</v>
      </c>
      <c r="L28" s="2">
        <v>5</v>
      </c>
      <c r="M28" s="4">
        <f t="shared" si="8"/>
        <v>2.7924528301886791</v>
      </c>
      <c r="N28" s="27">
        <f>48/6</f>
        <v>8</v>
      </c>
      <c r="O28" s="10">
        <v>15</v>
      </c>
      <c r="P28">
        <f>H28-I28</f>
        <v>-72</v>
      </c>
    </row>
    <row r="29" spans="1:16">
      <c r="A29" s="16">
        <v>12</v>
      </c>
      <c r="B29" s="12" t="s">
        <v>33</v>
      </c>
      <c r="C29" s="30" t="s">
        <v>34</v>
      </c>
      <c r="D29" s="2">
        <v>13</v>
      </c>
      <c r="E29" s="17">
        <v>7</v>
      </c>
      <c r="F29" s="17">
        <v>1</v>
      </c>
      <c r="G29" s="17">
        <v>5</v>
      </c>
      <c r="H29" s="17">
        <f>13+10+3+11</f>
        <v>37</v>
      </c>
      <c r="I29" s="17">
        <f>7+4+12+11</f>
        <v>34</v>
      </c>
      <c r="J29" s="2">
        <f t="shared" ref="J29" si="9">E29*2+F29</f>
        <v>15</v>
      </c>
      <c r="K29" s="4">
        <f t="shared" ref="K29" si="10">H29/D29</f>
        <v>2.8461538461538463</v>
      </c>
      <c r="L29" s="17">
        <v>2</v>
      </c>
      <c r="M29" s="4">
        <f t="shared" ref="M29" si="11">I29/D29</f>
        <v>2.6153846153846154</v>
      </c>
      <c r="N29" s="28">
        <f>4/1</f>
        <v>4</v>
      </c>
      <c r="O29" s="34">
        <v>14</v>
      </c>
    </row>
    <row r="30" spans="1:16">
      <c r="A30" s="16">
        <v>13</v>
      </c>
      <c r="B30" s="3" t="s">
        <v>39</v>
      </c>
      <c r="C30" s="16" t="s">
        <v>37</v>
      </c>
      <c r="D30" s="2">
        <f>38+8</f>
        <v>46</v>
      </c>
      <c r="E30" s="31">
        <v>3</v>
      </c>
      <c r="F30" s="31">
        <v>9</v>
      </c>
      <c r="G30" s="2">
        <f>27+7</f>
        <v>34</v>
      </c>
      <c r="H30" s="2">
        <f>6+40</f>
        <v>46</v>
      </c>
      <c r="I30" s="2">
        <f>103+30</f>
        <v>133</v>
      </c>
      <c r="J30" s="2">
        <f t="shared" ref="J30" si="12">E30*2+F30</f>
        <v>15</v>
      </c>
      <c r="K30" s="4">
        <f t="shared" ref="K30" si="13">H30/D30</f>
        <v>1</v>
      </c>
      <c r="L30" s="31">
        <v>4</v>
      </c>
      <c r="M30" s="4">
        <f t="shared" si="5"/>
        <v>2.8913043478260869</v>
      </c>
      <c r="N30" s="27">
        <f>53/6</f>
        <v>8.8333333333333339</v>
      </c>
      <c r="O30" s="10">
        <v>10</v>
      </c>
    </row>
    <row r="31" spans="1:16">
      <c r="A31" s="16">
        <v>14</v>
      </c>
      <c r="B31" s="3" t="s">
        <v>22</v>
      </c>
      <c r="C31" s="16" t="s">
        <v>38</v>
      </c>
      <c r="D31" s="2">
        <f>16+6</f>
        <v>22</v>
      </c>
      <c r="E31" s="2">
        <v>4</v>
      </c>
      <c r="F31" s="2">
        <v>2</v>
      </c>
      <c r="G31" s="2">
        <v>16</v>
      </c>
      <c r="H31" s="2">
        <f>24</f>
        <v>24</v>
      </c>
      <c r="I31" s="2">
        <f>25+45</f>
        <v>70</v>
      </c>
      <c r="J31" s="2">
        <f>E31*2+F31</f>
        <v>10</v>
      </c>
      <c r="K31" s="4">
        <f>H31/D31</f>
        <v>1.0909090909090908</v>
      </c>
      <c r="L31" s="2">
        <v>0</v>
      </c>
      <c r="M31" s="4">
        <f>I31/D31</f>
        <v>3.1818181818181817</v>
      </c>
      <c r="N31" s="27">
        <f>28/3</f>
        <v>9.3333333333333339</v>
      </c>
      <c r="O31" s="10">
        <v>7</v>
      </c>
    </row>
    <row r="32" spans="1:16">
      <c r="A32" s="16">
        <v>15</v>
      </c>
      <c r="B32" s="3" t="s">
        <v>35</v>
      </c>
      <c r="C32" s="16" t="s">
        <v>36</v>
      </c>
      <c r="D32" s="2">
        <v>9</v>
      </c>
      <c r="E32" s="17">
        <v>3</v>
      </c>
      <c r="F32" s="17">
        <v>2</v>
      </c>
      <c r="G32" s="17">
        <v>4</v>
      </c>
      <c r="H32" s="17">
        <f>15+8</f>
        <v>23</v>
      </c>
      <c r="I32" s="17">
        <f>12+7</f>
        <v>19</v>
      </c>
      <c r="J32" s="2">
        <f>E32*2+F32</f>
        <v>8</v>
      </c>
      <c r="K32" s="4">
        <f>H32/D32</f>
        <v>2.5555555555555554</v>
      </c>
      <c r="L32" s="17">
        <v>1</v>
      </c>
      <c r="M32" s="4">
        <f>I32/D32</f>
        <v>2.1111111111111112</v>
      </c>
      <c r="N32" s="28">
        <f>10/1</f>
        <v>10</v>
      </c>
      <c r="O32" s="34">
        <v>5</v>
      </c>
    </row>
    <row r="33" spans="4:9">
      <c r="D33">
        <f>SUM(D18:D32)/2</f>
        <v>311</v>
      </c>
      <c r="H33">
        <f>SUM(H18:H32)</f>
        <v>1481</v>
      </c>
      <c r="I33">
        <f>SUM(I18:I32)</f>
        <v>1481</v>
      </c>
    </row>
    <row r="34" spans="4:9">
      <c r="G34">
        <f>H33/D33</f>
        <v>4.762057877813505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O39"/>
  <sheetViews>
    <sheetView topLeftCell="A4" workbookViewId="0">
      <selection activeCell="N34" sqref="N34"/>
    </sheetView>
  </sheetViews>
  <sheetFormatPr defaultRowHeight="15"/>
  <cols>
    <col min="3" max="3" width="9.5703125" customWidth="1"/>
  </cols>
  <sheetData>
    <row r="4" spans="1:15" ht="23.25">
      <c r="B4" s="11" t="s">
        <v>55</v>
      </c>
    </row>
    <row r="6" spans="1:15" ht="15.75" thickBot="1">
      <c r="A6" s="14" t="s">
        <v>0</v>
      </c>
      <c r="B6" s="41" t="s">
        <v>1</v>
      </c>
      <c r="C6" s="42" t="s">
        <v>2</v>
      </c>
      <c r="D6" s="41" t="s">
        <v>3</v>
      </c>
      <c r="E6" s="42" t="s">
        <v>4</v>
      </c>
      <c r="F6" s="42" t="s">
        <v>5</v>
      </c>
      <c r="G6" s="42" t="s">
        <v>6</v>
      </c>
      <c r="H6" s="43" t="s">
        <v>7</v>
      </c>
      <c r="I6" s="43" t="s">
        <v>8</v>
      </c>
      <c r="J6" s="42" t="s">
        <v>9</v>
      </c>
      <c r="K6" s="42" t="s">
        <v>10</v>
      </c>
      <c r="L6" s="42" t="s">
        <v>11</v>
      </c>
      <c r="M6" s="42" t="s">
        <v>12</v>
      </c>
      <c r="N6" s="43" t="s">
        <v>30</v>
      </c>
      <c r="O6" s="21" t="s">
        <v>13</v>
      </c>
    </row>
    <row r="7" spans="1:15">
      <c r="A7" s="15">
        <v>1</v>
      </c>
      <c r="B7" s="3" t="s">
        <v>56</v>
      </c>
      <c r="C7" s="3" t="s">
        <v>19</v>
      </c>
      <c r="D7" s="3">
        <v>11</v>
      </c>
      <c r="E7" s="3">
        <v>7</v>
      </c>
      <c r="F7" s="3">
        <v>1</v>
      </c>
      <c r="G7" s="3">
        <v>3</v>
      </c>
      <c r="H7" s="3">
        <f>13+13+13+4</f>
        <v>43</v>
      </c>
      <c r="I7" s="3">
        <f>6+5+5+3</f>
        <v>19</v>
      </c>
      <c r="J7" s="3">
        <f>E7*2+F7</f>
        <v>15</v>
      </c>
      <c r="K7" s="44">
        <f>H7/D7</f>
        <v>3.9090909090909092</v>
      </c>
      <c r="L7" s="3">
        <v>3</v>
      </c>
      <c r="M7" s="44">
        <f>I7/D7</f>
        <v>1.7272727272727273</v>
      </c>
      <c r="N7" s="3"/>
      <c r="O7" s="9">
        <v>14</v>
      </c>
    </row>
    <row r="8" spans="1:15">
      <c r="A8" s="16">
        <v>2</v>
      </c>
      <c r="B8" s="3" t="s">
        <v>24</v>
      </c>
      <c r="C8" s="3" t="s">
        <v>25</v>
      </c>
      <c r="D8" s="3">
        <v>9</v>
      </c>
      <c r="E8" s="3">
        <v>6</v>
      </c>
      <c r="F8" s="3">
        <v>2</v>
      </c>
      <c r="G8" s="3">
        <v>1</v>
      </c>
      <c r="H8" s="3">
        <f>10+10+4+3</f>
        <v>27</v>
      </c>
      <c r="I8" s="3">
        <f>4+2+1+4</f>
        <v>11</v>
      </c>
      <c r="J8" s="3">
        <f t="shared" ref="J8:J15" si="0">E8*2+F8</f>
        <v>14</v>
      </c>
      <c r="K8" s="44">
        <f t="shared" ref="K8:K15" si="1">H8/D8</f>
        <v>3</v>
      </c>
      <c r="L8" s="3">
        <v>3</v>
      </c>
      <c r="M8" s="44">
        <f t="shared" ref="M8:M15" si="2">I8/D8</f>
        <v>1.2222222222222223</v>
      </c>
      <c r="N8" s="3"/>
      <c r="O8" s="10">
        <v>11</v>
      </c>
    </row>
    <row r="9" spans="1:15">
      <c r="A9" s="16">
        <v>3</v>
      </c>
      <c r="B9" s="3" t="s">
        <v>22</v>
      </c>
      <c r="C9" s="3" t="s">
        <v>23</v>
      </c>
      <c r="D9" s="3">
        <v>12</v>
      </c>
      <c r="E9" s="3">
        <v>8</v>
      </c>
      <c r="F9" s="3">
        <v>2</v>
      </c>
      <c r="G9" s="3">
        <v>2</v>
      </c>
      <c r="H9" s="3">
        <f>16+8+5+13</f>
        <v>42</v>
      </c>
      <c r="I9" s="3">
        <f>5+3+13+7</f>
        <v>28</v>
      </c>
      <c r="J9" s="3">
        <f t="shared" si="0"/>
        <v>18</v>
      </c>
      <c r="K9" s="44">
        <f t="shared" si="1"/>
        <v>3.5</v>
      </c>
      <c r="L9" s="3">
        <v>1</v>
      </c>
      <c r="M9" s="44">
        <f t="shared" si="2"/>
        <v>2.3333333333333335</v>
      </c>
      <c r="N9" s="3"/>
      <c r="O9" s="10">
        <v>9</v>
      </c>
    </row>
    <row r="10" spans="1:15">
      <c r="A10" s="16">
        <v>4</v>
      </c>
      <c r="B10" s="3" t="s">
        <v>57</v>
      </c>
      <c r="C10" s="3" t="s">
        <v>27</v>
      </c>
      <c r="D10" s="3">
        <v>11</v>
      </c>
      <c r="E10" s="3">
        <v>5</v>
      </c>
      <c r="F10" s="3">
        <v>3</v>
      </c>
      <c r="G10" s="3">
        <v>3</v>
      </c>
      <c r="H10" s="3">
        <f>13+5+1+7</f>
        <v>26</v>
      </c>
      <c r="I10" s="3">
        <f>2+1+4+13</f>
        <v>20</v>
      </c>
      <c r="J10" s="3">
        <f t="shared" si="0"/>
        <v>13</v>
      </c>
      <c r="K10" s="44">
        <f t="shared" si="1"/>
        <v>2.3636363636363638</v>
      </c>
      <c r="L10" s="3">
        <v>4</v>
      </c>
      <c r="M10" s="44">
        <f t="shared" si="2"/>
        <v>1.8181818181818181</v>
      </c>
      <c r="N10" s="3"/>
      <c r="O10" s="10">
        <v>7</v>
      </c>
    </row>
    <row r="11" spans="1:15">
      <c r="A11" s="16">
        <v>5</v>
      </c>
      <c r="B11" s="3" t="s">
        <v>14</v>
      </c>
      <c r="C11" s="3" t="s">
        <v>19</v>
      </c>
      <c r="D11" s="3">
        <v>11</v>
      </c>
      <c r="E11" s="3">
        <v>6</v>
      </c>
      <c r="F11" s="3">
        <v>1</v>
      </c>
      <c r="G11" s="3">
        <v>4</v>
      </c>
      <c r="H11" s="3">
        <f>7+5+13</f>
        <v>25</v>
      </c>
      <c r="I11" s="3">
        <f>9+13+2</f>
        <v>24</v>
      </c>
      <c r="J11" s="3">
        <f t="shared" si="0"/>
        <v>13</v>
      </c>
      <c r="K11" s="44">
        <f t="shared" si="1"/>
        <v>2.2727272727272729</v>
      </c>
      <c r="L11" s="3">
        <v>3</v>
      </c>
      <c r="M11" s="44">
        <f t="shared" si="2"/>
        <v>2.1818181818181817</v>
      </c>
      <c r="N11" s="3"/>
      <c r="O11" s="10">
        <v>5</v>
      </c>
    </row>
    <row r="12" spans="1:15">
      <c r="A12" s="16">
        <v>6</v>
      </c>
      <c r="B12" s="3" t="s">
        <v>20</v>
      </c>
      <c r="C12" s="3" t="s">
        <v>37</v>
      </c>
      <c r="D12" s="3">
        <v>9</v>
      </c>
      <c r="E12" s="3">
        <v>2</v>
      </c>
      <c r="F12" s="3">
        <v>3</v>
      </c>
      <c r="G12" s="3">
        <v>4</v>
      </c>
      <c r="H12" s="3">
        <f>1+1+7</f>
        <v>9</v>
      </c>
      <c r="I12" s="3">
        <f>8+5+5</f>
        <v>18</v>
      </c>
      <c r="J12" s="3">
        <f t="shared" si="0"/>
        <v>7</v>
      </c>
      <c r="K12" s="44">
        <f t="shared" si="1"/>
        <v>1</v>
      </c>
      <c r="L12" s="3">
        <v>1</v>
      </c>
      <c r="M12" s="44">
        <f t="shared" si="2"/>
        <v>2</v>
      </c>
      <c r="N12" s="3"/>
      <c r="O12" s="10">
        <v>4</v>
      </c>
    </row>
    <row r="13" spans="1:15">
      <c r="A13" s="16">
        <v>7</v>
      </c>
      <c r="B13" s="3" t="s">
        <v>22</v>
      </c>
      <c r="C13" s="3" t="s">
        <v>38</v>
      </c>
      <c r="D13" s="3">
        <v>10</v>
      </c>
      <c r="E13" s="3">
        <v>2</v>
      </c>
      <c r="F13" s="3">
        <v>2</v>
      </c>
      <c r="G13" s="3">
        <v>6</v>
      </c>
      <c r="H13" s="3">
        <f>4+2+5</f>
        <v>11</v>
      </c>
      <c r="I13" s="3">
        <f>11+10+6</f>
        <v>27</v>
      </c>
      <c r="J13" s="3">
        <f t="shared" si="0"/>
        <v>6</v>
      </c>
      <c r="K13" s="44">
        <f t="shared" si="1"/>
        <v>1.1000000000000001</v>
      </c>
      <c r="L13" s="3">
        <v>1</v>
      </c>
      <c r="M13" s="44">
        <f t="shared" si="2"/>
        <v>2.7</v>
      </c>
      <c r="N13" s="3"/>
      <c r="O13" s="10">
        <v>3</v>
      </c>
    </row>
    <row r="14" spans="1:15">
      <c r="A14" s="16">
        <v>8</v>
      </c>
      <c r="B14" s="3" t="s">
        <v>28</v>
      </c>
      <c r="C14" s="3" t="s">
        <v>29</v>
      </c>
      <c r="D14" s="3">
        <v>9</v>
      </c>
      <c r="E14" s="3">
        <v>1</v>
      </c>
      <c r="F14" s="3">
        <v>1</v>
      </c>
      <c r="G14" s="3">
        <v>7</v>
      </c>
      <c r="H14" s="3">
        <f>2+3+7</f>
        <v>12</v>
      </c>
      <c r="I14" s="3">
        <f>8+8+11</f>
        <v>27</v>
      </c>
      <c r="J14" s="3">
        <f t="shared" si="0"/>
        <v>3</v>
      </c>
      <c r="K14" s="44">
        <f t="shared" si="1"/>
        <v>1.3333333333333333</v>
      </c>
      <c r="L14" s="3">
        <v>1</v>
      </c>
      <c r="M14" s="44">
        <f t="shared" si="2"/>
        <v>3</v>
      </c>
      <c r="N14" s="3"/>
      <c r="O14" s="10">
        <v>2</v>
      </c>
    </row>
    <row r="15" spans="1:15">
      <c r="A15" s="16">
        <v>9</v>
      </c>
      <c r="B15" s="3" t="s">
        <v>58</v>
      </c>
      <c r="C15" s="3" t="s">
        <v>37</v>
      </c>
      <c r="D15" s="3">
        <v>8</v>
      </c>
      <c r="E15" s="3">
        <v>0</v>
      </c>
      <c r="F15" s="3">
        <v>1</v>
      </c>
      <c r="G15" s="3">
        <v>7</v>
      </c>
      <c r="H15" s="3">
        <f>2+1</f>
        <v>3</v>
      </c>
      <c r="I15" s="3">
        <f>15+9</f>
        <v>24</v>
      </c>
      <c r="J15" s="3">
        <f t="shared" si="0"/>
        <v>1</v>
      </c>
      <c r="K15" s="44">
        <f t="shared" si="1"/>
        <v>0.375</v>
      </c>
      <c r="L15" s="3">
        <v>0</v>
      </c>
      <c r="M15" s="44">
        <f t="shared" si="2"/>
        <v>3</v>
      </c>
      <c r="N15" s="3"/>
      <c r="O15" s="10">
        <v>1</v>
      </c>
    </row>
    <row r="16" spans="1:15">
      <c r="D16">
        <f>SUM(D7:D15)/2</f>
        <v>45</v>
      </c>
      <c r="H16">
        <f>SUM(H7:H15)</f>
        <v>198</v>
      </c>
      <c r="I16">
        <f>SUM(I7:I15)</f>
        <v>198</v>
      </c>
    </row>
    <row r="18" spans="1:15">
      <c r="H18">
        <f>H16/D16</f>
        <v>4.4000000000000004</v>
      </c>
    </row>
    <row r="19" spans="1:15" ht="23.25">
      <c r="B19" s="11" t="s">
        <v>59</v>
      </c>
      <c r="C19" s="13"/>
    </row>
    <row r="20" spans="1:15">
      <c r="C20" s="13"/>
    </row>
    <row r="21" spans="1:15">
      <c r="A21" s="45" t="s">
        <v>0</v>
      </c>
      <c r="B21" s="46" t="s">
        <v>1</v>
      </c>
      <c r="C21" s="45" t="s">
        <v>2</v>
      </c>
      <c r="D21" s="46" t="s">
        <v>3</v>
      </c>
      <c r="E21" s="45" t="s">
        <v>4</v>
      </c>
      <c r="F21" s="45" t="s">
        <v>5</v>
      </c>
      <c r="G21" s="45" t="s">
        <v>6</v>
      </c>
      <c r="H21" s="47" t="s">
        <v>7</v>
      </c>
      <c r="I21" s="47" t="s">
        <v>8</v>
      </c>
      <c r="J21" s="45" t="s">
        <v>9</v>
      </c>
      <c r="K21" s="45" t="s">
        <v>10</v>
      </c>
      <c r="L21" s="45" t="s">
        <v>11</v>
      </c>
      <c r="M21" s="45" t="s">
        <v>12</v>
      </c>
      <c r="N21" s="47" t="s">
        <v>30</v>
      </c>
      <c r="O21" s="47" t="s">
        <v>13</v>
      </c>
    </row>
    <row r="22" spans="1:15">
      <c r="A22" s="16">
        <v>1</v>
      </c>
      <c r="B22" s="3" t="s">
        <v>16</v>
      </c>
      <c r="C22" s="16" t="s">
        <v>17</v>
      </c>
      <c r="D22" s="2">
        <f>43+11</f>
        <v>54</v>
      </c>
      <c r="E22" s="2">
        <f>8+26</f>
        <v>34</v>
      </c>
      <c r="F22" s="2">
        <f>1+10</f>
        <v>11</v>
      </c>
      <c r="G22" s="2">
        <v>9</v>
      </c>
      <c r="H22" s="2">
        <f>38+134</f>
        <v>172</v>
      </c>
      <c r="I22" s="2">
        <f>23+89</f>
        <v>112</v>
      </c>
      <c r="J22" s="2">
        <f>E22*2+F22</f>
        <v>79</v>
      </c>
      <c r="K22" s="4">
        <f>H22/D22</f>
        <v>3.1851851851851851</v>
      </c>
      <c r="L22" s="2">
        <v>6</v>
      </c>
      <c r="M22" s="4">
        <f>I22/D22</f>
        <v>2.074074074074074</v>
      </c>
      <c r="N22" s="27">
        <f>9/5</f>
        <v>1.8</v>
      </c>
      <c r="O22" s="10">
        <f>52+9</f>
        <v>61</v>
      </c>
    </row>
    <row r="23" spans="1:15">
      <c r="A23" s="16">
        <v>2</v>
      </c>
      <c r="B23" s="3" t="s">
        <v>56</v>
      </c>
      <c r="C23" s="3" t="s">
        <v>19</v>
      </c>
      <c r="D23" s="2">
        <f>54+11</f>
        <v>65</v>
      </c>
      <c r="E23" s="2">
        <v>40</v>
      </c>
      <c r="F23" s="2">
        <v>7</v>
      </c>
      <c r="G23" s="2">
        <v>18</v>
      </c>
      <c r="H23" s="2">
        <f>183+43</f>
        <v>226</v>
      </c>
      <c r="I23" s="2">
        <f>114+19</f>
        <v>133</v>
      </c>
      <c r="J23" s="2">
        <f t="shared" ref="J23:J35" si="3">E23*2+F23</f>
        <v>87</v>
      </c>
      <c r="K23" s="4">
        <f t="shared" ref="K23:K35" si="4">H23/D23</f>
        <v>3.476923076923077</v>
      </c>
      <c r="L23" s="2">
        <v>15</v>
      </c>
      <c r="M23" s="4">
        <f t="shared" ref="M23:M35" si="5">I23/D23</f>
        <v>2.046153846153846</v>
      </c>
      <c r="N23" s="27">
        <f>18/6</f>
        <v>3</v>
      </c>
      <c r="O23" s="10">
        <v>61</v>
      </c>
    </row>
    <row r="24" spans="1:15">
      <c r="A24" s="16">
        <v>3</v>
      </c>
      <c r="B24" s="3" t="s">
        <v>14</v>
      </c>
      <c r="C24" s="16" t="s">
        <v>15</v>
      </c>
      <c r="D24" s="2">
        <f>41+10</f>
        <v>51</v>
      </c>
      <c r="E24" s="2">
        <v>33</v>
      </c>
      <c r="F24" s="2">
        <v>7</v>
      </c>
      <c r="G24" s="2">
        <v>11</v>
      </c>
      <c r="H24" s="2">
        <f>39+140</f>
        <v>179</v>
      </c>
      <c r="I24" s="2">
        <f>96+20</f>
        <v>116</v>
      </c>
      <c r="J24" s="2">
        <f t="shared" si="3"/>
        <v>73</v>
      </c>
      <c r="K24" s="4">
        <f t="shared" si="4"/>
        <v>3.5098039215686274</v>
      </c>
      <c r="L24" s="2">
        <v>4</v>
      </c>
      <c r="M24" s="4">
        <f t="shared" si="5"/>
        <v>2.2745098039215685</v>
      </c>
      <c r="N24" s="27">
        <f>12/5</f>
        <v>2.4</v>
      </c>
      <c r="O24" s="10">
        <f>12+46</f>
        <v>58</v>
      </c>
    </row>
    <row r="25" spans="1:15">
      <c r="A25" s="16">
        <v>4</v>
      </c>
      <c r="B25" s="3" t="s">
        <v>22</v>
      </c>
      <c r="C25" s="3" t="s">
        <v>23</v>
      </c>
      <c r="D25" s="2">
        <v>76</v>
      </c>
      <c r="E25" s="2">
        <v>42</v>
      </c>
      <c r="F25" s="2">
        <v>11</v>
      </c>
      <c r="G25" s="2">
        <v>23</v>
      </c>
      <c r="H25" s="2">
        <f>173+42</f>
        <v>215</v>
      </c>
      <c r="I25" s="2">
        <f>117+28</f>
        <v>145</v>
      </c>
      <c r="J25" s="2">
        <f t="shared" si="3"/>
        <v>95</v>
      </c>
      <c r="K25" s="4">
        <f t="shared" si="4"/>
        <v>2.8289473684210527</v>
      </c>
      <c r="L25" s="2">
        <v>17</v>
      </c>
      <c r="M25" s="4">
        <f t="shared" si="5"/>
        <v>1.9078947368421053</v>
      </c>
      <c r="N25" s="27">
        <f>26/7</f>
        <v>3.7142857142857144</v>
      </c>
      <c r="O25" s="10">
        <f>49+9</f>
        <v>58</v>
      </c>
    </row>
    <row r="26" spans="1:15">
      <c r="A26" s="16">
        <v>5</v>
      </c>
      <c r="B26" s="3" t="s">
        <v>24</v>
      </c>
      <c r="C26" s="3" t="s">
        <v>25</v>
      </c>
      <c r="D26" s="2">
        <v>60</v>
      </c>
      <c r="E26" s="2">
        <v>29</v>
      </c>
      <c r="F26" s="2">
        <v>12</v>
      </c>
      <c r="G26" s="2">
        <v>19</v>
      </c>
      <c r="H26" s="2">
        <f>27+125</f>
        <v>152</v>
      </c>
      <c r="I26" s="2">
        <f>121+11</f>
        <v>132</v>
      </c>
      <c r="J26" s="2">
        <f t="shared" si="3"/>
        <v>70</v>
      </c>
      <c r="K26" s="4">
        <f t="shared" si="4"/>
        <v>2.5333333333333332</v>
      </c>
      <c r="L26" s="2">
        <v>10</v>
      </c>
      <c r="M26" s="4">
        <f t="shared" si="5"/>
        <v>2.2000000000000002</v>
      </c>
      <c r="N26" s="27">
        <f>24/6</f>
        <v>4</v>
      </c>
      <c r="O26" s="10">
        <f>36+11</f>
        <v>47</v>
      </c>
    </row>
    <row r="27" spans="1:15">
      <c r="A27" s="16">
        <v>6</v>
      </c>
      <c r="B27" s="3" t="s">
        <v>20</v>
      </c>
      <c r="C27" s="16" t="s">
        <v>21</v>
      </c>
      <c r="D27" s="2">
        <v>39</v>
      </c>
      <c r="E27" s="2">
        <f>8+16</f>
        <v>24</v>
      </c>
      <c r="F27" s="31">
        <v>4</v>
      </c>
      <c r="G27" s="31">
        <v>11</v>
      </c>
      <c r="H27" s="2">
        <f>31+83</f>
        <v>114</v>
      </c>
      <c r="I27" s="2">
        <f>65+8</f>
        <v>73</v>
      </c>
      <c r="J27" s="2">
        <f t="shared" si="3"/>
        <v>52</v>
      </c>
      <c r="K27" s="4">
        <f t="shared" si="4"/>
        <v>2.9230769230769229</v>
      </c>
      <c r="L27" s="31">
        <v>7</v>
      </c>
      <c r="M27" s="4">
        <f t="shared" si="5"/>
        <v>1.8717948717948718</v>
      </c>
      <c r="N27" s="27">
        <f>10/4</f>
        <v>2.5</v>
      </c>
      <c r="O27" s="10">
        <f>12+28</f>
        <v>40</v>
      </c>
    </row>
    <row r="28" spans="1:15">
      <c r="A28" s="16">
        <v>7</v>
      </c>
      <c r="B28" s="3" t="s">
        <v>57</v>
      </c>
      <c r="C28" s="3" t="s">
        <v>27</v>
      </c>
      <c r="D28" s="2">
        <v>65</v>
      </c>
      <c r="E28" s="2">
        <v>22</v>
      </c>
      <c r="F28" s="2">
        <v>11</v>
      </c>
      <c r="G28" s="2">
        <v>32</v>
      </c>
      <c r="H28" s="2">
        <f>127+26</f>
        <v>153</v>
      </c>
      <c r="I28" s="2">
        <f>20+174</f>
        <v>194</v>
      </c>
      <c r="J28" s="2">
        <f>E28*2+F28</f>
        <v>55</v>
      </c>
      <c r="K28" s="4">
        <f>H28/D28</f>
        <v>2.3538461538461539</v>
      </c>
      <c r="L28" s="2">
        <v>8</v>
      </c>
      <c r="M28" s="4">
        <f>I28/D28</f>
        <v>2.9846153846153847</v>
      </c>
      <c r="N28" s="27">
        <f>40/7</f>
        <v>5.7142857142857144</v>
      </c>
      <c r="O28" s="10">
        <f>7+29</f>
        <v>36</v>
      </c>
    </row>
    <row r="29" spans="1:15">
      <c r="A29" s="16">
        <v>8</v>
      </c>
      <c r="B29" s="3" t="s">
        <v>14</v>
      </c>
      <c r="C29" s="3" t="s">
        <v>19</v>
      </c>
      <c r="D29" s="2">
        <v>60</v>
      </c>
      <c r="E29" s="2">
        <v>25</v>
      </c>
      <c r="F29" s="2">
        <v>11</v>
      </c>
      <c r="G29" s="2">
        <v>24</v>
      </c>
      <c r="H29" s="2">
        <f>102+25</f>
        <v>127</v>
      </c>
      <c r="I29" s="2">
        <f>24+109</f>
        <v>133</v>
      </c>
      <c r="J29" s="2">
        <f>E29*2+F29</f>
        <v>61</v>
      </c>
      <c r="K29" s="4">
        <f>H29/D29</f>
        <v>2.1166666666666667</v>
      </c>
      <c r="L29" s="2">
        <v>9</v>
      </c>
      <c r="M29" s="4">
        <f>I29/D29</f>
        <v>2.2166666666666668</v>
      </c>
      <c r="N29" s="27">
        <f>41/7</f>
        <v>5.8571428571428568</v>
      </c>
      <c r="O29" s="10">
        <f>5+28</f>
        <v>33</v>
      </c>
    </row>
    <row r="30" spans="1:15">
      <c r="A30" s="16">
        <v>9</v>
      </c>
      <c r="B30" s="3" t="s">
        <v>31</v>
      </c>
      <c r="C30" s="16" t="s">
        <v>32</v>
      </c>
      <c r="D30" s="2">
        <v>14</v>
      </c>
      <c r="E30" s="17">
        <v>10</v>
      </c>
      <c r="F30" s="17">
        <v>3</v>
      </c>
      <c r="G30" s="17">
        <v>1</v>
      </c>
      <c r="H30" s="17">
        <f>23+11+12+7</f>
        <v>53</v>
      </c>
      <c r="I30" s="17">
        <f>9+6+3+5</f>
        <v>23</v>
      </c>
      <c r="J30" s="2">
        <f>E30*2+F30</f>
        <v>23</v>
      </c>
      <c r="K30" s="4">
        <f>H30/D30</f>
        <v>3.7857142857142856</v>
      </c>
      <c r="L30" s="17">
        <v>4</v>
      </c>
      <c r="M30" s="4">
        <f>I30/D30</f>
        <v>1.6428571428571428</v>
      </c>
      <c r="N30" s="28">
        <f>1/1</f>
        <v>1</v>
      </c>
      <c r="O30" s="34">
        <v>21</v>
      </c>
    </row>
    <row r="31" spans="1:15">
      <c r="A31" s="16">
        <v>10</v>
      </c>
      <c r="B31" s="3" t="s">
        <v>20</v>
      </c>
      <c r="C31" s="3" t="s">
        <v>37</v>
      </c>
      <c r="D31" s="2">
        <v>62</v>
      </c>
      <c r="E31" s="2">
        <v>12</v>
      </c>
      <c r="F31" s="2">
        <v>13</v>
      </c>
      <c r="G31" s="2">
        <v>37</v>
      </c>
      <c r="H31" s="2">
        <f>9+76</f>
        <v>85</v>
      </c>
      <c r="I31" s="2">
        <f>18+148</f>
        <v>166</v>
      </c>
      <c r="J31" s="2">
        <f t="shared" si="3"/>
        <v>37</v>
      </c>
      <c r="K31" s="4">
        <f t="shared" si="4"/>
        <v>1.3709677419354838</v>
      </c>
      <c r="L31" s="2">
        <v>6</v>
      </c>
      <c r="M31" s="4">
        <f t="shared" si="5"/>
        <v>2.6774193548387095</v>
      </c>
      <c r="N31" s="27">
        <f>54/7</f>
        <v>7.7142857142857144</v>
      </c>
      <c r="O31" s="10">
        <v>19</v>
      </c>
    </row>
    <row r="32" spans="1:15">
      <c r="A32" s="16">
        <v>11</v>
      </c>
      <c r="B32" s="3" t="s">
        <v>28</v>
      </c>
      <c r="C32" s="3" t="s">
        <v>29</v>
      </c>
      <c r="D32" s="2">
        <v>58</v>
      </c>
      <c r="E32" s="2">
        <v>8</v>
      </c>
      <c r="F32" s="2">
        <v>7</v>
      </c>
      <c r="G32" s="2">
        <v>43</v>
      </c>
      <c r="H32" s="2">
        <f>47+12</f>
        <v>59</v>
      </c>
      <c r="I32" s="2">
        <f>27+118</f>
        <v>145</v>
      </c>
      <c r="J32" s="2">
        <f t="shared" si="3"/>
        <v>23</v>
      </c>
      <c r="K32" s="4">
        <f t="shared" si="4"/>
        <v>1.0172413793103448</v>
      </c>
      <c r="L32" s="2">
        <v>9</v>
      </c>
      <c r="M32" s="4">
        <f t="shared" si="5"/>
        <v>2.5</v>
      </c>
      <c r="N32" s="27">
        <f>54/7</f>
        <v>7.7142857142857144</v>
      </c>
      <c r="O32" s="10">
        <v>17</v>
      </c>
    </row>
    <row r="33" spans="1:15">
      <c r="A33" s="16">
        <v>12</v>
      </c>
      <c r="B33" s="12" t="s">
        <v>33</v>
      </c>
      <c r="C33" s="30" t="s">
        <v>34</v>
      </c>
      <c r="D33" s="2">
        <v>13</v>
      </c>
      <c r="E33" s="17">
        <v>7</v>
      </c>
      <c r="F33" s="17">
        <v>1</v>
      </c>
      <c r="G33" s="17">
        <v>5</v>
      </c>
      <c r="H33" s="17">
        <f>13+10+3+11</f>
        <v>37</v>
      </c>
      <c r="I33" s="17">
        <f>7+4+12+11</f>
        <v>34</v>
      </c>
      <c r="J33" s="2">
        <f t="shared" si="3"/>
        <v>15</v>
      </c>
      <c r="K33" s="4">
        <f t="shared" si="4"/>
        <v>2.8461538461538463</v>
      </c>
      <c r="L33" s="17">
        <v>2</v>
      </c>
      <c r="M33" s="4">
        <f t="shared" si="5"/>
        <v>2.6153846153846154</v>
      </c>
      <c r="N33" s="28">
        <f>4/1</f>
        <v>4</v>
      </c>
      <c r="O33" s="34">
        <v>14</v>
      </c>
    </row>
    <row r="34" spans="1:15">
      <c r="A34" s="16">
        <v>13</v>
      </c>
      <c r="B34" s="3" t="s">
        <v>58</v>
      </c>
      <c r="C34" s="3" t="s">
        <v>37</v>
      </c>
      <c r="D34" s="2">
        <v>54</v>
      </c>
      <c r="E34" s="2">
        <v>3</v>
      </c>
      <c r="F34" s="2">
        <v>10</v>
      </c>
      <c r="G34" s="2">
        <v>41</v>
      </c>
      <c r="H34" s="2">
        <v>49</v>
      </c>
      <c r="I34" s="2">
        <f>24+133</f>
        <v>157</v>
      </c>
      <c r="J34" s="2">
        <f t="shared" si="3"/>
        <v>16</v>
      </c>
      <c r="K34" s="4">
        <f t="shared" si="4"/>
        <v>0.90740740740740744</v>
      </c>
      <c r="L34" s="2">
        <v>4</v>
      </c>
      <c r="M34" s="4">
        <f t="shared" si="5"/>
        <v>2.9074074074074074</v>
      </c>
      <c r="N34" s="27">
        <f>62/7</f>
        <v>8.8571428571428577</v>
      </c>
      <c r="O34" s="10">
        <v>11</v>
      </c>
    </row>
    <row r="35" spans="1:15">
      <c r="A35" s="16">
        <v>14</v>
      </c>
      <c r="B35" s="3" t="s">
        <v>22</v>
      </c>
      <c r="C35" s="3" t="s">
        <v>38</v>
      </c>
      <c r="D35" s="2">
        <v>32</v>
      </c>
      <c r="E35" s="2">
        <v>6</v>
      </c>
      <c r="F35" s="2">
        <v>4</v>
      </c>
      <c r="G35" s="2">
        <v>22</v>
      </c>
      <c r="H35" s="2">
        <f>11+24</f>
        <v>35</v>
      </c>
      <c r="I35" s="2">
        <f>27+70</f>
        <v>97</v>
      </c>
      <c r="J35" s="2">
        <f t="shared" si="3"/>
        <v>16</v>
      </c>
      <c r="K35" s="4">
        <f t="shared" si="4"/>
        <v>1.09375</v>
      </c>
      <c r="L35" s="2">
        <v>1</v>
      </c>
      <c r="M35" s="4">
        <f t="shared" si="5"/>
        <v>3.03125</v>
      </c>
      <c r="N35" s="27">
        <f>35/4</f>
        <v>8.75</v>
      </c>
      <c r="O35" s="10">
        <v>10</v>
      </c>
    </row>
    <row r="36" spans="1:15">
      <c r="A36" s="16">
        <v>15</v>
      </c>
      <c r="B36" s="3" t="s">
        <v>35</v>
      </c>
      <c r="C36" s="16" t="s">
        <v>36</v>
      </c>
      <c r="D36" s="2">
        <v>9</v>
      </c>
      <c r="E36" s="17">
        <v>3</v>
      </c>
      <c r="F36" s="17">
        <v>2</v>
      </c>
      <c r="G36" s="17">
        <v>4</v>
      </c>
      <c r="H36" s="17">
        <f>15+8</f>
        <v>23</v>
      </c>
      <c r="I36" s="17">
        <f>12+7</f>
        <v>19</v>
      </c>
      <c r="J36" s="2">
        <f>E36*2+F36</f>
        <v>8</v>
      </c>
      <c r="K36" s="4">
        <f>H36/D36</f>
        <v>2.5555555555555554</v>
      </c>
      <c r="L36" s="17">
        <v>1</v>
      </c>
      <c r="M36" s="4">
        <f>I36/D36</f>
        <v>2.1111111111111112</v>
      </c>
      <c r="N36" s="28">
        <f>10/1</f>
        <v>10</v>
      </c>
      <c r="O36" s="34">
        <v>5</v>
      </c>
    </row>
    <row r="37" spans="1:15">
      <c r="D37">
        <f>SUM(D22:D36)/2</f>
        <v>356</v>
      </c>
      <c r="H37">
        <f>SUM(H22:H36)</f>
        <v>1679</v>
      </c>
      <c r="I37">
        <f>SUM(I22:I36)</f>
        <v>1679</v>
      </c>
    </row>
    <row r="39" spans="1:15">
      <c r="H39">
        <f>H37/D37</f>
        <v>4.7162921348314608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N34" sqref="N34"/>
    </sheetView>
  </sheetViews>
  <sheetFormatPr defaultRowHeight="15"/>
  <sheetData>
    <row r="1" spans="1:15" ht="23.25">
      <c r="B1" s="11" t="s">
        <v>60</v>
      </c>
    </row>
    <row r="3" spans="1:15" ht="15.75" thickBot="1">
      <c r="A3" s="14" t="s">
        <v>0</v>
      </c>
      <c r="B3" s="8" t="s">
        <v>1</v>
      </c>
      <c r="C3" s="14" t="s">
        <v>2</v>
      </c>
      <c r="D3" s="8" t="s">
        <v>3</v>
      </c>
      <c r="E3" s="14" t="s">
        <v>4</v>
      </c>
      <c r="F3" s="14" t="s">
        <v>5</v>
      </c>
      <c r="G3" s="14" t="s">
        <v>6</v>
      </c>
      <c r="H3" s="21" t="s">
        <v>7</v>
      </c>
      <c r="I3" s="21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21" t="s">
        <v>30</v>
      </c>
      <c r="O3" s="21" t="s">
        <v>13</v>
      </c>
    </row>
    <row r="4" spans="1:15">
      <c r="A4" s="15">
        <v>1</v>
      </c>
      <c r="B4" s="5" t="s">
        <v>16</v>
      </c>
      <c r="C4" s="15" t="s">
        <v>17</v>
      </c>
      <c r="D4" s="6">
        <v>11</v>
      </c>
      <c r="E4" s="6">
        <v>7</v>
      </c>
      <c r="F4" s="6">
        <v>3</v>
      </c>
      <c r="G4" s="6">
        <v>1</v>
      </c>
      <c r="H4" s="6">
        <f>10+10+7+7</f>
        <v>34</v>
      </c>
      <c r="I4" s="6">
        <f>4+5+3+4</f>
        <v>16</v>
      </c>
      <c r="J4" s="6">
        <f>E4*2+F4</f>
        <v>17</v>
      </c>
      <c r="K4" s="7">
        <f>H4/D4</f>
        <v>3.0909090909090908</v>
      </c>
      <c r="L4" s="6">
        <v>2</v>
      </c>
      <c r="M4" s="7">
        <f>I4/D4</f>
        <v>1.4545454545454546</v>
      </c>
      <c r="N4" s="6"/>
      <c r="O4" s="9">
        <v>14</v>
      </c>
    </row>
    <row r="5" spans="1:15">
      <c r="A5" s="16">
        <v>2</v>
      </c>
      <c r="B5" s="3" t="s">
        <v>56</v>
      </c>
      <c r="C5" s="3" t="s">
        <v>19</v>
      </c>
      <c r="D5" s="2">
        <v>11</v>
      </c>
      <c r="E5" s="2">
        <v>7</v>
      </c>
      <c r="F5" s="2">
        <v>2</v>
      </c>
      <c r="G5" s="2">
        <v>2</v>
      </c>
      <c r="H5" s="2">
        <f>15+9+7+4</f>
        <v>35</v>
      </c>
      <c r="I5" s="2">
        <f>5+4+4+7</f>
        <v>20</v>
      </c>
      <c r="J5" s="2">
        <f t="shared" ref="J5:J12" si="0">E5*2+F5</f>
        <v>16</v>
      </c>
      <c r="K5" s="4">
        <f t="shared" ref="K5:K12" si="1">H5/D5</f>
        <v>3.1818181818181817</v>
      </c>
      <c r="L5" s="2">
        <v>4</v>
      </c>
      <c r="M5" s="4">
        <f t="shared" ref="M5:M12" si="2">I5/D5</f>
        <v>1.8181818181818181</v>
      </c>
      <c r="N5" s="2"/>
      <c r="O5" s="10">
        <v>11</v>
      </c>
    </row>
    <row r="6" spans="1:15">
      <c r="A6" s="16">
        <v>3</v>
      </c>
      <c r="B6" s="3" t="s">
        <v>14</v>
      </c>
      <c r="C6" s="16" t="s">
        <v>15</v>
      </c>
      <c r="D6" s="2">
        <v>9</v>
      </c>
      <c r="E6" s="2">
        <v>4</v>
      </c>
      <c r="F6" s="2">
        <v>3</v>
      </c>
      <c r="G6" s="2">
        <v>2</v>
      </c>
      <c r="H6" s="2">
        <f>13+3+3+5</f>
        <v>24</v>
      </c>
      <c r="I6" s="2">
        <f>10+1+7+1</f>
        <v>19</v>
      </c>
      <c r="J6" s="2">
        <f t="shared" si="0"/>
        <v>11</v>
      </c>
      <c r="K6" s="4">
        <f t="shared" si="1"/>
        <v>2.6666666666666665</v>
      </c>
      <c r="L6" s="2">
        <v>2</v>
      </c>
      <c r="M6" s="4">
        <f t="shared" si="2"/>
        <v>2.1111111111111112</v>
      </c>
      <c r="N6" s="2"/>
      <c r="O6" s="10">
        <v>9</v>
      </c>
    </row>
    <row r="7" spans="1:15">
      <c r="A7" s="16">
        <v>4</v>
      </c>
      <c r="B7" s="3" t="s">
        <v>22</v>
      </c>
      <c r="C7" s="3" t="s">
        <v>23</v>
      </c>
      <c r="D7" s="2">
        <v>12</v>
      </c>
      <c r="E7" s="2">
        <v>5</v>
      </c>
      <c r="F7" s="2">
        <v>2</v>
      </c>
      <c r="G7" s="2">
        <v>5</v>
      </c>
      <c r="H7" s="2">
        <f>11+8+4+1</f>
        <v>24</v>
      </c>
      <c r="I7" s="2">
        <f>7+6+7+5</f>
        <v>25</v>
      </c>
      <c r="J7" s="2">
        <f t="shared" si="0"/>
        <v>12</v>
      </c>
      <c r="K7" s="4">
        <f t="shared" si="1"/>
        <v>2</v>
      </c>
      <c r="L7" s="2">
        <v>0</v>
      </c>
      <c r="M7" s="4">
        <f t="shared" si="2"/>
        <v>2.0833333333333335</v>
      </c>
      <c r="N7" s="2"/>
      <c r="O7" s="10">
        <v>7</v>
      </c>
    </row>
    <row r="8" spans="1:15">
      <c r="A8" s="16">
        <v>5</v>
      </c>
      <c r="B8" s="3" t="s">
        <v>14</v>
      </c>
      <c r="C8" s="3" t="s">
        <v>19</v>
      </c>
      <c r="D8" s="2">
        <v>10</v>
      </c>
      <c r="E8" s="2">
        <v>6</v>
      </c>
      <c r="F8" s="2">
        <v>0</v>
      </c>
      <c r="G8" s="2">
        <v>4</v>
      </c>
      <c r="H8" s="2">
        <f>3+6+17</f>
        <v>26</v>
      </c>
      <c r="I8" s="2">
        <f>7+8+5</f>
        <v>20</v>
      </c>
      <c r="J8" s="2">
        <f t="shared" si="0"/>
        <v>12</v>
      </c>
      <c r="K8" s="4">
        <f t="shared" si="1"/>
        <v>2.6</v>
      </c>
      <c r="L8" s="2">
        <v>1</v>
      </c>
      <c r="M8" s="4">
        <f t="shared" si="2"/>
        <v>2</v>
      </c>
      <c r="N8" s="2"/>
      <c r="O8" s="10">
        <v>5</v>
      </c>
    </row>
    <row r="9" spans="1:15">
      <c r="A9" s="16">
        <v>6</v>
      </c>
      <c r="B9" s="3" t="s">
        <v>57</v>
      </c>
      <c r="C9" s="3" t="s">
        <v>27</v>
      </c>
      <c r="D9" s="2">
        <v>10</v>
      </c>
      <c r="E9" s="2">
        <v>4</v>
      </c>
      <c r="F9" s="2">
        <v>1</v>
      </c>
      <c r="G9" s="2">
        <v>5</v>
      </c>
      <c r="H9" s="2">
        <f>9+4+19</f>
        <v>32</v>
      </c>
      <c r="I9" s="2">
        <f>12+9+6</f>
        <v>27</v>
      </c>
      <c r="J9" s="2">
        <f t="shared" si="0"/>
        <v>9</v>
      </c>
      <c r="K9" s="4">
        <f t="shared" si="1"/>
        <v>3.2</v>
      </c>
      <c r="L9" s="2">
        <v>2</v>
      </c>
      <c r="M9" s="4">
        <f t="shared" si="2"/>
        <v>2.7</v>
      </c>
      <c r="N9" s="2"/>
      <c r="O9" s="10">
        <v>4</v>
      </c>
    </row>
    <row r="10" spans="1:15">
      <c r="A10" s="16">
        <v>7</v>
      </c>
      <c r="B10" s="3" t="s">
        <v>28</v>
      </c>
      <c r="C10" s="3" t="s">
        <v>29</v>
      </c>
      <c r="D10" s="2">
        <v>10</v>
      </c>
      <c r="E10" s="2">
        <v>4</v>
      </c>
      <c r="F10" s="2">
        <v>1</v>
      </c>
      <c r="G10" s="2">
        <v>5</v>
      </c>
      <c r="H10" s="2">
        <f>7+1+9</f>
        <v>17</v>
      </c>
      <c r="I10" s="2">
        <f>5+7+3</f>
        <v>15</v>
      </c>
      <c r="J10" s="2">
        <f t="shared" si="0"/>
        <v>9</v>
      </c>
      <c r="K10" s="4">
        <f t="shared" si="1"/>
        <v>1.7</v>
      </c>
      <c r="L10" s="2">
        <v>2</v>
      </c>
      <c r="M10" s="4">
        <f t="shared" si="2"/>
        <v>1.5</v>
      </c>
      <c r="N10" s="2"/>
      <c r="O10" s="10">
        <v>3</v>
      </c>
    </row>
    <row r="11" spans="1:15">
      <c r="A11" s="16">
        <v>8</v>
      </c>
      <c r="B11" s="3" t="s">
        <v>20</v>
      </c>
      <c r="C11" s="3" t="s">
        <v>37</v>
      </c>
      <c r="D11" s="2">
        <v>9</v>
      </c>
      <c r="E11" s="2">
        <v>1</v>
      </c>
      <c r="F11" s="2">
        <v>0</v>
      </c>
      <c r="G11" s="2">
        <v>8</v>
      </c>
      <c r="H11" s="2">
        <f>3+5+9</f>
        <v>17</v>
      </c>
      <c r="I11" s="2">
        <f>12+10+12</f>
        <v>34</v>
      </c>
      <c r="J11" s="2">
        <f t="shared" si="0"/>
        <v>2</v>
      </c>
      <c r="K11" s="4">
        <f t="shared" si="1"/>
        <v>1.8888888888888888</v>
      </c>
      <c r="L11" s="2">
        <v>0</v>
      </c>
      <c r="M11" s="4">
        <f t="shared" si="2"/>
        <v>3.7777777777777777</v>
      </c>
      <c r="N11" s="2"/>
      <c r="O11" s="10">
        <v>2</v>
      </c>
    </row>
    <row r="12" spans="1:15">
      <c r="A12" s="16">
        <v>9</v>
      </c>
      <c r="B12" s="3" t="s">
        <v>58</v>
      </c>
      <c r="C12" s="3" t="s">
        <v>37</v>
      </c>
      <c r="D12" s="2">
        <v>8</v>
      </c>
      <c r="E12" s="2">
        <v>0</v>
      </c>
      <c r="F12" s="2">
        <v>2</v>
      </c>
      <c r="G12" s="2">
        <v>6</v>
      </c>
      <c r="H12" s="2">
        <f>3+6</f>
        <v>9</v>
      </c>
      <c r="I12" s="2">
        <f>10+32</f>
        <v>42</v>
      </c>
      <c r="J12" s="2">
        <f t="shared" si="0"/>
        <v>2</v>
      </c>
      <c r="K12" s="4">
        <f t="shared" si="1"/>
        <v>1.125</v>
      </c>
      <c r="L12" s="2">
        <v>0</v>
      </c>
      <c r="M12" s="4">
        <f t="shared" si="2"/>
        <v>5.25</v>
      </c>
      <c r="N12" s="2"/>
      <c r="O12" s="10">
        <v>1</v>
      </c>
    </row>
    <row r="13" spans="1:15">
      <c r="D13">
        <f>SUM(D4:D12)/2</f>
        <v>45</v>
      </c>
      <c r="H13">
        <f>SUM(H4:H12)</f>
        <v>218</v>
      </c>
      <c r="I13">
        <f>SUM(I4:I12)</f>
        <v>218</v>
      </c>
    </row>
    <row r="14" spans="1:15">
      <c r="G14">
        <f>H13/D13</f>
        <v>4.8444444444444441</v>
      </c>
    </row>
    <row r="16" spans="1:15" ht="23.25">
      <c r="B16" s="11" t="s">
        <v>61</v>
      </c>
    </row>
    <row r="18" spans="1:15" ht="15.75" thickBot="1">
      <c r="A18" s="14" t="s">
        <v>0</v>
      </c>
      <c r="B18" s="41" t="s">
        <v>1</v>
      </c>
      <c r="C18" s="42" t="s">
        <v>2</v>
      </c>
      <c r="D18" s="8" t="s">
        <v>3</v>
      </c>
      <c r="E18" s="14" t="s">
        <v>4</v>
      </c>
      <c r="F18" s="14" t="s">
        <v>5</v>
      </c>
      <c r="G18" s="14" t="s">
        <v>6</v>
      </c>
      <c r="H18" s="21" t="s">
        <v>7</v>
      </c>
      <c r="I18" s="21" t="s">
        <v>8</v>
      </c>
      <c r="J18" s="14" t="s">
        <v>9</v>
      </c>
      <c r="K18" s="14" t="s">
        <v>10</v>
      </c>
      <c r="L18" s="14" t="s">
        <v>11</v>
      </c>
      <c r="M18" s="14" t="s">
        <v>12</v>
      </c>
      <c r="N18" s="21" t="s">
        <v>30</v>
      </c>
      <c r="O18" s="21" t="s">
        <v>13</v>
      </c>
    </row>
    <row r="19" spans="1:15">
      <c r="A19" s="16">
        <v>1</v>
      </c>
      <c r="B19" s="3" t="s">
        <v>16</v>
      </c>
      <c r="C19" s="16" t="s">
        <v>17</v>
      </c>
      <c r="D19" s="6">
        <f>54+11</f>
        <v>65</v>
      </c>
      <c r="E19" s="6">
        <f>7+34</f>
        <v>41</v>
      </c>
      <c r="F19" s="6">
        <v>14</v>
      </c>
      <c r="G19" s="6">
        <v>10</v>
      </c>
      <c r="H19" s="6">
        <f>172+34</f>
        <v>206</v>
      </c>
      <c r="I19" s="6">
        <f>16+112</f>
        <v>128</v>
      </c>
      <c r="J19" s="6">
        <f>E19*2+F19</f>
        <v>96</v>
      </c>
      <c r="K19" s="7">
        <f>H19/D19</f>
        <v>3.1692307692307691</v>
      </c>
      <c r="L19" s="6">
        <v>8</v>
      </c>
      <c r="M19" s="7">
        <f>I19/D19</f>
        <v>1.9692307692307693</v>
      </c>
      <c r="N19" s="26">
        <f>10/6</f>
        <v>1.6666666666666667</v>
      </c>
      <c r="O19" s="9">
        <f>14+61</f>
        <v>75</v>
      </c>
    </row>
    <row r="20" spans="1:15">
      <c r="A20" s="16">
        <v>2</v>
      </c>
      <c r="B20" s="3" t="s">
        <v>56</v>
      </c>
      <c r="C20" s="3" t="s">
        <v>19</v>
      </c>
      <c r="D20" s="2">
        <f>11+65</f>
        <v>76</v>
      </c>
      <c r="E20" s="2">
        <f>40+7</f>
        <v>47</v>
      </c>
      <c r="F20" s="2">
        <v>9</v>
      </c>
      <c r="G20" s="2">
        <v>20</v>
      </c>
      <c r="H20" s="2">
        <f>226+35</f>
        <v>261</v>
      </c>
      <c r="I20" s="2">
        <f>20+133</f>
        <v>153</v>
      </c>
      <c r="J20" s="2">
        <f t="shared" ref="J20:J32" si="3">E20*2+F20</f>
        <v>103</v>
      </c>
      <c r="K20" s="4">
        <f t="shared" ref="K20:K32" si="4">H20/D20</f>
        <v>3.4342105263157894</v>
      </c>
      <c r="L20" s="2">
        <v>19</v>
      </c>
      <c r="M20" s="4">
        <f t="shared" ref="M20:M32" si="5">I20/D20</f>
        <v>2.013157894736842</v>
      </c>
      <c r="N20" s="27">
        <f>20/7</f>
        <v>2.8571428571428572</v>
      </c>
      <c r="O20" s="10">
        <f>61+11</f>
        <v>72</v>
      </c>
    </row>
    <row r="21" spans="1:15">
      <c r="A21" s="16">
        <v>3</v>
      </c>
      <c r="B21" s="3" t="s">
        <v>14</v>
      </c>
      <c r="C21" s="16" t="s">
        <v>15</v>
      </c>
      <c r="D21" s="2">
        <v>60</v>
      </c>
      <c r="E21" s="2">
        <v>37</v>
      </c>
      <c r="F21" s="2">
        <v>10</v>
      </c>
      <c r="G21" s="2">
        <v>13</v>
      </c>
      <c r="H21" s="2">
        <f>179+24</f>
        <v>203</v>
      </c>
      <c r="I21" s="2">
        <f>19+116</f>
        <v>135</v>
      </c>
      <c r="J21" s="2">
        <f t="shared" si="3"/>
        <v>84</v>
      </c>
      <c r="K21" s="4">
        <f t="shared" si="4"/>
        <v>3.3833333333333333</v>
      </c>
      <c r="L21" s="2">
        <v>6</v>
      </c>
      <c r="M21" s="4">
        <f t="shared" si="5"/>
        <v>2.25</v>
      </c>
      <c r="N21" s="27">
        <f>15/6</f>
        <v>2.5</v>
      </c>
      <c r="O21" s="10">
        <f>9+58</f>
        <v>67</v>
      </c>
    </row>
    <row r="22" spans="1:15">
      <c r="A22" s="16">
        <v>4</v>
      </c>
      <c r="B22" s="3" t="s">
        <v>22</v>
      </c>
      <c r="C22" s="3" t="s">
        <v>23</v>
      </c>
      <c r="D22" s="2">
        <f>12+76</f>
        <v>88</v>
      </c>
      <c r="E22" s="2">
        <f>42+5</f>
        <v>47</v>
      </c>
      <c r="F22" s="2">
        <v>13</v>
      </c>
      <c r="G22" s="2">
        <v>28</v>
      </c>
      <c r="H22" s="2">
        <f>24+215</f>
        <v>239</v>
      </c>
      <c r="I22" s="2">
        <f>145+25</f>
        <v>170</v>
      </c>
      <c r="J22" s="2">
        <f t="shared" si="3"/>
        <v>107</v>
      </c>
      <c r="K22" s="4">
        <f t="shared" si="4"/>
        <v>2.7159090909090908</v>
      </c>
      <c r="L22" s="2">
        <v>17</v>
      </c>
      <c r="M22" s="4">
        <f t="shared" si="5"/>
        <v>1.9318181818181819</v>
      </c>
      <c r="N22" s="27">
        <f>30/8</f>
        <v>3.75</v>
      </c>
      <c r="O22" s="10">
        <f>7+58</f>
        <v>65</v>
      </c>
    </row>
    <row r="23" spans="1:15">
      <c r="A23" s="16">
        <v>5</v>
      </c>
      <c r="B23" s="3" t="s">
        <v>24</v>
      </c>
      <c r="C23" s="3" t="s">
        <v>25</v>
      </c>
      <c r="D23" s="2">
        <v>60</v>
      </c>
      <c r="E23" s="2">
        <v>29</v>
      </c>
      <c r="F23" s="2">
        <v>12</v>
      </c>
      <c r="G23" s="2">
        <v>19</v>
      </c>
      <c r="H23" s="2">
        <f>27+125</f>
        <v>152</v>
      </c>
      <c r="I23" s="2">
        <f>121+11</f>
        <v>132</v>
      </c>
      <c r="J23" s="2">
        <f t="shared" si="3"/>
        <v>70</v>
      </c>
      <c r="K23" s="4">
        <f t="shared" si="4"/>
        <v>2.5333333333333332</v>
      </c>
      <c r="L23" s="2">
        <v>10</v>
      </c>
      <c r="M23" s="4">
        <f t="shared" si="5"/>
        <v>2.2000000000000002</v>
      </c>
      <c r="N23" s="27">
        <f>24/6</f>
        <v>4</v>
      </c>
      <c r="O23" s="10">
        <f>36+11</f>
        <v>47</v>
      </c>
    </row>
    <row r="24" spans="1:15">
      <c r="A24" s="16">
        <v>6</v>
      </c>
      <c r="B24" s="3" t="s">
        <v>20</v>
      </c>
      <c r="C24" s="16" t="s">
        <v>21</v>
      </c>
      <c r="D24" s="2">
        <v>39</v>
      </c>
      <c r="E24" s="2">
        <f>8+16</f>
        <v>24</v>
      </c>
      <c r="F24" s="31">
        <v>4</v>
      </c>
      <c r="G24" s="31">
        <v>11</v>
      </c>
      <c r="H24" s="2">
        <f>31+83</f>
        <v>114</v>
      </c>
      <c r="I24" s="2">
        <f>65+8</f>
        <v>73</v>
      </c>
      <c r="J24" s="2">
        <f t="shared" si="3"/>
        <v>52</v>
      </c>
      <c r="K24" s="4">
        <f t="shared" si="4"/>
        <v>2.9230769230769229</v>
      </c>
      <c r="L24" s="31">
        <v>7</v>
      </c>
      <c r="M24" s="4">
        <f t="shared" si="5"/>
        <v>1.8717948717948718</v>
      </c>
      <c r="N24" s="27">
        <f>10/4</f>
        <v>2.5</v>
      </c>
      <c r="O24" s="10">
        <f>12+28</f>
        <v>40</v>
      </c>
    </row>
    <row r="25" spans="1:15">
      <c r="A25" s="16">
        <v>7</v>
      </c>
      <c r="B25" s="3" t="s">
        <v>57</v>
      </c>
      <c r="C25" s="3" t="s">
        <v>27</v>
      </c>
      <c r="D25" s="2">
        <v>75</v>
      </c>
      <c r="E25" s="2">
        <v>26</v>
      </c>
      <c r="F25" s="2">
        <v>12</v>
      </c>
      <c r="G25" s="2">
        <v>37</v>
      </c>
      <c r="H25" s="2">
        <f>32+153</f>
        <v>185</v>
      </c>
      <c r="I25" s="2">
        <f>194+27</f>
        <v>221</v>
      </c>
      <c r="J25" s="2">
        <f t="shared" si="3"/>
        <v>64</v>
      </c>
      <c r="K25" s="4">
        <f t="shared" si="4"/>
        <v>2.4666666666666668</v>
      </c>
      <c r="L25" s="2">
        <v>10</v>
      </c>
      <c r="M25" s="4">
        <f t="shared" si="5"/>
        <v>2.9466666666666668</v>
      </c>
      <c r="N25" s="27">
        <f>46/8</f>
        <v>5.75</v>
      </c>
      <c r="O25" s="10">
        <v>40</v>
      </c>
    </row>
    <row r="26" spans="1:15">
      <c r="A26" s="16">
        <v>8</v>
      </c>
      <c r="B26" s="3" t="s">
        <v>14</v>
      </c>
      <c r="C26" s="3" t="s">
        <v>19</v>
      </c>
      <c r="D26" s="2">
        <v>70</v>
      </c>
      <c r="E26" s="2">
        <v>31</v>
      </c>
      <c r="F26" s="2">
        <v>11</v>
      </c>
      <c r="G26" s="2">
        <v>28</v>
      </c>
      <c r="H26" s="2">
        <f>26+127</f>
        <v>153</v>
      </c>
      <c r="I26" s="2">
        <f>20+133</f>
        <v>153</v>
      </c>
      <c r="J26" s="2">
        <f t="shared" si="3"/>
        <v>73</v>
      </c>
      <c r="K26" s="4">
        <f t="shared" si="4"/>
        <v>2.1857142857142855</v>
      </c>
      <c r="L26" s="2">
        <v>10</v>
      </c>
      <c r="M26" s="4">
        <f t="shared" si="5"/>
        <v>2.1857142857142855</v>
      </c>
      <c r="N26" s="27">
        <f>46/8</f>
        <v>5.75</v>
      </c>
      <c r="O26" s="10">
        <v>38</v>
      </c>
    </row>
    <row r="27" spans="1:15">
      <c r="A27" s="16">
        <v>9</v>
      </c>
      <c r="B27" s="3" t="s">
        <v>31</v>
      </c>
      <c r="C27" s="16" t="s">
        <v>32</v>
      </c>
      <c r="D27" s="2">
        <v>14</v>
      </c>
      <c r="E27" s="17">
        <v>10</v>
      </c>
      <c r="F27" s="17">
        <v>3</v>
      </c>
      <c r="G27" s="17">
        <v>1</v>
      </c>
      <c r="H27" s="17">
        <f>23+11+12+7</f>
        <v>53</v>
      </c>
      <c r="I27" s="17">
        <f>9+6+3+5</f>
        <v>23</v>
      </c>
      <c r="J27" s="2">
        <f>E27*2+F27</f>
        <v>23</v>
      </c>
      <c r="K27" s="4">
        <f>H27/D27</f>
        <v>3.7857142857142856</v>
      </c>
      <c r="L27" s="17">
        <v>4</v>
      </c>
      <c r="M27" s="4">
        <f>I27/D27</f>
        <v>1.6428571428571428</v>
      </c>
      <c r="N27" s="28">
        <f>1/1</f>
        <v>1</v>
      </c>
      <c r="O27" s="34">
        <v>21</v>
      </c>
    </row>
    <row r="28" spans="1:15">
      <c r="A28" s="16">
        <v>10</v>
      </c>
      <c r="B28" s="3" t="s">
        <v>20</v>
      </c>
      <c r="C28" s="3" t="s">
        <v>37</v>
      </c>
      <c r="D28" s="2">
        <v>71</v>
      </c>
      <c r="E28" s="2">
        <v>13</v>
      </c>
      <c r="F28" s="2">
        <v>13</v>
      </c>
      <c r="G28" s="2">
        <f>8+37</f>
        <v>45</v>
      </c>
      <c r="H28" s="2">
        <f>17+85</f>
        <v>102</v>
      </c>
      <c r="I28" s="2">
        <f>166+34</f>
        <v>200</v>
      </c>
      <c r="J28" s="2">
        <f t="shared" si="3"/>
        <v>39</v>
      </c>
      <c r="K28" s="4">
        <f t="shared" si="4"/>
        <v>1.4366197183098592</v>
      </c>
      <c r="L28" s="2">
        <v>6</v>
      </c>
      <c r="M28" s="4">
        <f t="shared" si="5"/>
        <v>2.816901408450704</v>
      </c>
      <c r="N28" s="27">
        <f>62/8</f>
        <v>7.75</v>
      </c>
      <c r="O28" s="10">
        <v>21</v>
      </c>
    </row>
    <row r="29" spans="1:15">
      <c r="A29" s="16">
        <v>11</v>
      </c>
      <c r="B29" s="3" t="s">
        <v>28</v>
      </c>
      <c r="C29" s="3" t="s">
        <v>29</v>
      </c>
      <c r="D29" s="2">
        <v>68</v>
      </c>
      <c r="E29" s="2">
        <v>12</v>
      </c>
      <c r="F29" s="2">
        <v>8</v>
      </c>
      <c r="G29" s="2">
        <v>48</v>
      </c>
      <c r="H29" s="2">
        <f>17+59</f>
        <v>76</v>
      </c>
      <c r="I29" s="2">
        <f>145+15</f>
        <v>160</v>
      </c>
      <c r="J29" s="2">
        <f t="shared" si="3"/>
        <v>32</v>
      </c>
      <c r="K29" s="4">
        <f t="shared" si="4"/>
        <v>1.1176470588235294</v>
      </c>
      <c r="L29" s="2">
        <v>11</v>
      </c>
      <c r="M29" s="4">
        <f t="shared" si="5"/>
        <v>2.3529411764705883</v>
      </c>
      <c r="N29" s="27">
        <f>61/8</f>
        <v>7.625</v>
      </c>
      <c r="O29" s="10">
        <v>20</v>
      </c>
    </row>
    <row r="30" spans="1:15">
      <c r="A30" s="16">
        <v>12</v>
      </c>
      <c r="B30" s="12" t="s">
        <v>33</v>
      </c>
      <c r="C30" s="30" t="s">
        <v>34</v>
      </c>
      <c r="D30" s="2">
        <v>13</v>
      </c>
      <c r="E30" s="17">
        <v>7</v>
      </c>
      <c r="F30" s="17">
        <v>1</v>
      </c>
      <c r="G30" s="17">
        <v>5</v>
      </c>
      <c r="H30" s="17">
        <f>13+10+3+11</f>
        <v>37</v>
      </c>
      <c r="I30" s="17">
        <f>7+4+12+11</f>
        <v>34</v>
      </c>
      <c r="J30" s="2">
        <f t="shared" si="3"/>
        <v>15</v>
      </c>
      <c r="K30" s="4">
        <f t="shared" si="4"/>
        <v>2.8461538461538463</v>
      </c>
      <c r="L30" s="17">
        <v>2</v>
      </c>
      <c r="M30" s="4">
        <f t="shared" si="5"/>
        <v>2.6153846153846154</v>
      </c>
      <c r="N30" s="28">
        <f>4/1</f>
        <v>4</v>
      </c>
      <c r="O30" s="34">
        <v>14</v>
      </c>
    </row>
    <row r="31" spans="1:15">
      <c r="A31" s="16">
        <v>13</v>
      </c>
      <c r="B31" s="3" t="s">
        <v>58</v>
      </c>
      <c r="C31" s="3" t="s">
        <v>37</v>
      </c>
      <c r="D31" s="2">
        <f>54+8</f>
        <v>62</v>
      </c>
      <c r="E31" s="2">
        <v>3</v>
      </c>
      <c r="F31" s="2">
        <v>12</v>
      </c>
      <c r="G31" s="2">
        <v>47</v>
      </c>
      <c r="H31" s="2">
        <f>9+49</f>
        <v>58</v>
      </c>
      <c r="I31" s="2">
        <f>157+42</f>
        <v>199</v>
      </c>
      <c r="J31" s="2">
        <f t="shared" si="3"/>
        <v>18</v>
      </c>
      <c r="K31" s="4">
        <f t="shared" si="4"/>
        <v>0.93548387096774188</v>
      </c>
      <c r="L31" s="2">
        <v>4</v>
      </c>
      <c r="M31" s="4">
        <f t="shared" si="5"/>
        <v>3.2096774193548385</v>
      </c>
      <c r="N31" s="27">
        <f>71/8</f>
        <v>8.875</v>
      </c>
      <c r="O31" s="10">
        <v>12</v>
      </c>
    </row>
    <row r="32" spans="1:15">
      <c r="A32" s="16">
        <v>14</v>
      </c>
      <c r="B32" s="3" t="s">
        <v>22</v>
      </c>
      <c r="C32" s="3" t="s">
        <v>38</v>
      </c>
      <c r="D32" s="2">
        <v>32</v>
      </c>
      <c r="E32" s="2">
        <v>6</v>
      </c>
      <c r="F32" s="2">
        <v>4</v>
      </c>
      <c r="G32" s="2">
        <v>22</v>
      </c>
      <c r="H32" s="2">
        <f>11+24</f>
        <v>35</v>
      </c>
      <c r="I32" s="2">
        <f>27+70</f>
        <v>97</v>
      </c>
      <c r="J32" s="2">
        <f t="shared" si="3"/>
        <v>16</v>
      </c>
      <c r="K32" s="4">
        <f t="shared" si="4"/>
        <v>1.09375</v>
      </c>
      <c r="L32" s="2">
        <v>1</v>
      </c>
      <c r="M32" s="4">
        <f t="shared" si="5"/>
        <v>3.03125</v>
      </c>
      <c r="N32" s="27">
        <f>35/4</f>
        <v>8.75</v>
      </c>
      <c r="O32" s="10">
        <v>10</v>
      </c>
    </row>
    <row r="33" spans="1:15">
      <c r="A33" s="16">
        <v>15</v>
      </c>
      <c r="B33" s="3" t="s">
        <v>35</v>
      </c>
      <c r="C33" s="16" t="s">
        <v>36</v>
      </c>
      <c r="D33" s="2">
        <v>9</v>
      </c>
      <c r="E33" s="17">
        <v>3</v>
      </c>
      <c r="F33" s="17">
        <v>2</v>
      </c>
      <c r="G33" s="17">
        <v>4</v>
      </c>
      <c r="H33" s="17">
        <f>15+8</f>
        <v>23</v>
      </c>
      <c r="I33" s="17">
        <f>12+7</f>
        <v>19</v>
      </c>
      <c r="J33" s="2">
        <f>E33*2+F33</f>
        <v>8</v>
      </c>
      <c r="K33" s="4">
        <f>H33/D33</f>
        <v>2.5555555555555554</v>
      </c>
      <c r="L33" s="17">
        <v>1</v>
      </c>
      <c r="M33" s="4">
        <f>I33/D33</f>
        <v>2.1111111111111112</v>
      </c>
      <c r="N33" s="28">
        <f>10/1</f>
        <v>10</v>
      </c>
      <c r="O33" s="34">
        <v>5</v>
      </c>
    </row>
    <row r="34" spans="1:15">
      <c r="D34">
        <f>SUM(D19:D33)/2</f>
        <v>401</v>
      </c>
      <c r="H34">
        <f>SUM(H19:H33)</f>
        <v>1897</v>
      </c>
      <c r="I34">
        <f>SUM(I19:I33)</f>
        <v>1897</v>
      </c>
    </row>
    <row r="35" spans="1:15">
      <c r="G35">
        <f>H34/D34</f>
        <v>4.7306733167082298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1.kolo</vt:lpstr>
      <vt:lpstr>2.kolo</vt:lpstr>
      <vt:lpstr>3.kolo</vt:lpstr>
      <vt:lpstr>4.kolo</vt:lpstr>
      <vt:lpstr>5.kolo</vt:lpstr>
      <vt:lpstr>6.kolo</vt:lpstr>
      <vt:lpstr>7.kolo</vt:lpstr>
      <vt:lpstr>8.kolo</vt:lpstr>
      <vt:lpstr>9.kolo</vt:lpstr>
      <vt:lpstr>10.kolo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Azbook</dc:creator>
  <cp:lastModifiedBy>Vlasta</cp:lastModifiedBy>
  <dcterms:created xsi:type="dcterms:W3CDTF">2013-10-04T17:43:37Z</dcterms:created>
  <dcterms:modified xsi:type="dcterms:W3CDTF">2014-03-29T07:10:23Z</dcterms:modified>
</cp:coreProperties>
</file>